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" windowWidth="25360" windowHeight="14440" tabRatio="500" activeTab="0"/>
  </bookViews>
  <sheets>
    <sheet name="RoadMapBasic" sheetId="1" r:id="rId1"/>
  </sheets>
  <definedNames>
    <definedName name="_xlfn.IFERROR" hidden="1">#NAME?</definedName>
    <definedName name="_xlnm.Print_Area" localSheetId="0">'RoadMapBasic'!$B$1:$T$129</definedName>
    <definedName name="L_Meses">'RoadMapBasic'!$B$175:$B$186</definedName>
  </definedNames>
  <calcPr fullCalcOnLoad="1"/>
</workbook>
</file>

<file path=xl/sharedStrings.xml><?xml version="1.0" encoding="utf-8"?>
<sst xmlns="http://schemas.openxmlformats.org/spreadsheetml/2006/main" count="109" uniqueCount="99">
  <si>
    <t>CEO</t>
  </si>
  <si>
    <t>CTO</t>
  </si>
  <si>
    <t>Marketing</t>
  </si>
  <si>
    <t>SEM</t>
  </si>
  <si>
    <t>Año Simulación</t>
  </si>
  <si>
    <t>Fecha Inicio:</t>
  </si>
  <si>
    <t>Bruto Anual</t>
  </si>
  <si>
    <t>Parámetros configuración</t>
  </si>
  <si>
    <t>Soporte producto</t>
  </si>
  <si>
    <t>Comercial</t>
  </si>
  <si>
    <t>Seg. Social e Impuestos Laborales</t>
  </si>
  <si>
    <t>Hosting &amp; Web</t>
  </si>
  <si>
    <t>Personal</t>
  </si>
  <si>
    <t>Gasto Primer mes</t>
  </si>
  <si>
    <t>IncrementoXmes</t>
  </si>
  <si>
    <t>Facebook</t>
  </si>
  <si>
    <t>Display Marketing</t>
  </si>
  <si>
    <t>Coste por Mes</t>
  </si>
  <si>
    <t>Concepto</t>
  </si>
  <si>
    <t>Costes Generales</t>
  </si>
  <si>
    <t xml:space="preserve">Costes de Abogado </t>
  </si>
  <si>
    <t>Gastos de Viaje</t>
  </si>
  <si>
    <t>Alquiler de Oficinas</t>
  </si>
  <si>
    <t>Telefónía y gastos de oficina</t>
  </si>
  <si>
    <t>Seguros</t>
  </si>
  <si>
    <t>Otros</t>
  </si>
  <si>
    <r>
      <t>COST</t>
    </r>
    <r>
      <rPr>
        <b/>
        <sz val="10"/>
        <color indexed="9"/>
        <rFont val="Arial"/>
        <family val="0"/>
      </rPr>
      <t>E</t>
    </r>
    <r>
      <rPr>
        <b/>
        <sz val="10"/>
        <color indexed="9"/>
        <rFont val="Arial"/>
        <family val="0"/>
      </rPr>
      <t>S</t>
    </r>
  </si>
  <si>
    <t>Ingresos netos</t>
  </si>
  <si>
    <t>REGISTROS Y CLIENTES</t>
  </si>
  <si>
    <t>REGISTROS</t>
  </si>
  <si>
    <t>Registros al principio del mes</t>
  </si>
  <si>
    <t>Clientes a mitad de mes</t>
  </si>
  <si>
    <t>Ingresos Medios por Usuario al mes (ARPU):</t>
  </si>
  <si>
    <t>Ingresos Brutos</t>
  </si>
  <si>
    <t>Crecimiento respecto mes anterior</t>
  </si>
  <si>
    <t>P&amp;L (Cuenta de Pérdidas y Ganancias)</t>
  </si>
  <si>
    <t>Margen Bruto</t>
  </si>
  <si>
    <t>Costes Operativos</t>
  </si>
  <si>
    <t>Margen Bruto de beneficios</t>
  </si>
  <si>
    <r>
      <t xml:space="preserve">% </t>
    </r>
    <r>
      <rPr>
        <i/>
        <sz val="10"/>
        <color indexed="23"/>
        <rFont val="Arial"/>
        <family val="0"/>
      </rPr>
      <t>respecto a ingresos</t>
    </r>
  </si>
  <si>
    <r>
      <t>EBIT</t>
    </r>
    <r>
      <rPr>
        <b/>
        <sz val="10"/>
        <color indexed="8"/>
        <rFont val="Arial"/>
        <family val="0"/>
      </rPr>
      <t>DA</t>
    </r>
  </si>
  <si>
    <t>VENTAS</t>
  </si>
  <si>
    <t>CLIENTES (DE PAGO)</t>
  </si>
  <si>
    <t>Clientes al principio del primer mes:</t>
  </si>
  <si>
    <t>Clientes al principio de cada mes</t>
  </si>
  <si>
    <t xml:space="preserve">Dirección </t>
  </si>
  <si>
    <t>Personal Operativo</t>
  </si>
  <si>
    <t>Personal Administrativo</t>
  </si>
  <si>
    <r>
      <rPr>
        <b/>
        <sz val="10"/>
        <color indexed="8"/>
        <rFont val="Arial"/>
        <family val="0"/>
      </rPr>
      <t>Ventas</t>
    </r>
    <r>
      <rPr>
        <b/>
        <sz val="10"/>
        <color indexed="8"/>
        <rFont val="Arial"/>
        <family val="0"/>
      </rPr>
      <t xml:space="preserve"> &amp; Mk</t>
    </r>
    <r>
      <rPr>
        <b/>
        <sz val="10"/>
        <color indexed="8"/>
        <rFont val="Arial"/>
        <family val="0"/>
      </rPr>
      <t>t</t>
    </r>
  </si>
  <si>
    <t>Comisiones Bancos por pagos</t>
  </si>
  <si>
    <t>Subcontrataciones (Diseñadores, desarrollo, etc)</t>
  </si>
  <si>
    <t>Personal Ventas &amp; MKT</t>
  </si>
  <si>
    <t>Personal I+D+i</t>
  </si>
  <si>
    <t>Desarrollador</t>
  </si>
  <si>
    <t>Desarrollador FrontEnd</t>
  </si>
  <si>
    <t>Desarrollador UX</t>
  </si>
  <si>
    <t>I+D+i</t>
  </si>
  <si>
    <t>Dirección y Generales</t>
  </si>
  <si>
    <t>Margen EBITDA</t>
  </si>
  <si>
    <t>Controles &amp; Métricas de interés</t>
  </si>
  <si>
    <t>Registros en el primer mes</t>
  </si>
  <si>
    <t>Crecimiento Registros Origen no identificado p.m.</t>
  </si>
  <si>
    <t>Nuevos Registros de Origen no identificado</t>
  </si>
  <si>
    <t>Gasto en MKT</t>
  </si>
  <si>
    <t>Registros Origen no identificado en el primer mes</t>
  </si>
  <si>
    <t>Decrecimiento del coste de adquisición cada mes</t>
  </si>
  <si>
    <t>Nuevos Registros por Campañas</t>
  </si>
  <si>
    <r>
      <t xml:space="preserve">Total </t>
    </r>
    <r>
      <rPr>
        <b/>
        <sz val="10"/>
        <color indexed="8"/>
        <rFont val="Arial"/>
        <family val="0"/>
      </rPr>
      <t>nuevos Registros</t>
    </r>
  </si>
  <si>
    <t>Total Registros a final de mes</t>
  </si>
  <si>
    <t>Ratio de conversión</t>
  </si>
  <si>
    <t>Nuevos Clientes</t>
  </si>
  <si>
    <t>Abandonos de Clientes (CHURN)</t>
  </si>
  <si>
    <t>Abandonos (Churn) p.m.</t>
  </si>
  <si>
    <t>Tasa de conversión el primer mes</t>
  </si>
  <si>
    <t>Incremento de conversión p.m.</t>
  </si>
  <si>
    <t>Total Clientes</t>
  </si>
  <si>
    <t>Plantilla Total</t>
  </si>
  <si>
    <t>CAU (Coste de Adquisición de Usuario Registrado)</t>
  </si>
  <si>
    <t>CAC - Coste Adquisición de clientes (x Campañas)</t>
  </si>
  <si>
    <t>CAC - Para todos los clientes captados este mes</t>
  </si>
  <si>
    <t>Nuevos Registros por cada persona MKT</t>
  </si>
  <si>
    <t>Administrativo</t>
  </si>
  <si>
    <t>Administrativo 2</t>
  </si>
  <si>
    <t>Clientes por cada Operador de soporte de producto</t>
  </si>
  <si>
    <t>CFO</t>
  </si>
  <si>
    <t>Registros Origen no identificado (PR, organico, viral,...)</t>
  </si>
  <si>
    <r>
      <rPr>
        <b/>
        <sz val="10"/>
        <color indexed="8"/>
        <rFont val="Arial"/>
        <family val="0"/>
      </rPr>
      <t>Registros Campañas (SEM, AdWords, etc...)</t>
    </r>
  </si>
  <si>
    <t>Coste Adquisición Usuario primer mes</t>
  </si>
  <si>
    <t>RoadMap financiero Básico</t>
  </si>
  <si>
    <t>Métricas Básicas</t>
  </si>
  <si>
    <t>BURN RATE</t>
  </si>
  <si>
    <t>MRR</t>
  </si>
  <si>
    <t>PLANTILLA RoadMap Basic - Modelo Saas</t>
  </si>
  <si>
    <t>REGISTROS - Adquisición &amp; Activación</t>
  </si>
  <si>
    <t>Media Coste Personal</t>
  </si>
  <si>
    <t>Modelo Saas</t>
  </si>
  <si>
    <t>Personas</t>
  </si>
  <si>
    <t>http://www.cinkventuring.es</t>
  </si>
  <si>
    <t>V2- Abril'20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</si>
</sst>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"/>
    <numFmt numFmtId="165" formatCode="&quot;$&quot;#,##0;&quot;$&quot;\-#,##0"/>
    <numFmt numFmtId="166" formatCode="0\ ;\-0"/>
    <numFmt numFmtId="167" formatCode="&quot;$&quot;#,##0.00;&quot;$&quot;\-#,##0.00"/>
    <numFmt numFmtId="168" formatCode="&quot;$&quot;#,##0\ ;&quot;$&quot;\-#,##0"/>
    <numFmt numFmtId="169" formatCode="&quot;$&quot;#,##0.00"/>
    <numFmt numFmtId="170" formatCode="mmm\-yy;@"/>
    <numFmt numFmtId="171" formatCode="_-* #,##0\ &quot;€&quot;_-;\-* #,##0\ &quot;€&quot;_-;_-* &quot;-&quot;??\ &quot;€&quot;_-;_-@_-"/>
    <numFmt numFmtId="172" formatCode="[$-C0A]mmmm\-yy;@"/>
    <numFmt numFmtId="173" formatCode="mmm\ /yy"/>
    <numFmt numFmtId="174" formatCode="#,##0\ &quot;€&quot;;[Red]\-#,##0\ &quot;€&quot;;\ \-\ &quot;€&quot;"/>
    <numFmt numFmtId="175" formatCode="#,##0.00\ &quot;€&quot;;[Red]\-#,##0.00\ &quot;€&quot;;\ \-\ &quot;€&quot;"/>
    <numFmt numFmtId="176" formatCode="_-* #,##0.00\ [$€-C0A]_-;\-* #,##0.00\ [$€-C0A]_-;_-* &quot;-&quot;??\ [$€-C0A]_-;_-@_-"/>
    <numFmt numFmtId="177" formatCode="_-* #,##0\ _€_-;\-* #,##0\ _€_-;_-* &quot;-&quot;??\ _€_-;_-@_-"/>
    <numFmt numFmtId="178" formatCode="[$-C0A]mmm\-yy;@"/>
  </numFmts>
  <fonts count="101">
    <font>
      <sz val="10"/>
      <color rgb="FF000000"/>
      <name val="Arial"/>
      <family val="0"/>
    </font>
    <font>
      <sz val="12"/>
      <color indexed="8"/>
      <name val="Calibri"/>
      <family val="2"/>
    </font>
    <font>
      <b/>
      <sz val="10"/>
      <color indexed="8"/>
      <name val="Arial"/>
      <family val="0"/>
    </font>
    <font>
      <i/>
      <sz val="10"/>
      <color indexed="23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i/>
      <sz val="10"/>
      <color indexed="55"/>
      <name val="Arial"/>
      <family val="0"/>
    </font>
    <font>
      <sz val="10"/>
      <color indexed="12"/>
      <name val="Arial"/>
      <family val="0"/>
    </font>
    <font>
      <sz val="8"/>
      <color indexed="8"/>
      <name val="Arial"/>
      <family val="0"/>
    </font>
    <font>
      <b/>
      <sz val="11"/>
      <color indexed="9"/>
      <name val="Arial"/>
      <family val="0"/>
    </font>
    <font>
      <sz val="11"/>
      <color indexed="9"/>
      <name val="Arial"/>
      <family val="0"/>
    </font>
    <font>
      <b/>
      <sz val="12"/>
      <color indexed="9"/>
      <name val="Arial"/>
      <family val="0"/>
    </font>
    <font>
      <i/>
      <sz val="10"/>
      <color indexed="8"/>
      <name val="Arial"/>
      <family val="0"/>
    </font>
    <font>
      <b/>
      <sz val="10"/>
      <color indexed="12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0"/>
      <color indexed="12"/>
      <name val="Arial"/>
      <family val="0"/>
    </font>
    <font>
      <i/>
      <sz val="8"/>
      <color indexed="8"/>
      <name val="Arial"/>
      <family val="0"/>
    </font>
    <font>
      <i/>
      <sz val="10"/>
      <color indexed="12"/>
      <name val="Arial"/>
      <family val="0"/>
    </font>
    <font>
      <b/>
      <sz val="8"/>
      <color indexed="23"/>
      <name val="Arial"/>
      <family val="0"/>
    </font>
    <font>
      <b/>
      <sz val="10"/>
      <color indexed="23"/>
      <name val="Arial"/>
      <family val="0"/>
    </font>
    <font>
      <sz val="8"/>
      <color indexed="23"/>
      <name val="Arial"/>
      <family val="0"/>
    </font>
    <font>
      <sz val="10"/>
      <color indexed="23"/>
      <name val="Arial"/>
      <family val="0"/>
    </font>
    <font>
      <i/>
      <sz val="8"/>
      <color indexed="2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sz val="11"/>
      <color indexed="63"/>
      <name val="Arial"/>
      <family val="0"/>
    </font>
    <font>
      <sz val="9"/>
      <color indexed="8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b/>
      <sz val="9"/>
      <color indexed="8"/>
      <name val="Arial"/>
      <family val="0"/>
    </font>
    <font>
      <b/>
      <sz val="12"/>
      <color indexed="63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i/>
      <sz val="10"/>
      <color rgb="FF7F7F7F"/>
      <name val="Arial"/>
      <family val="0"/>
    </font>
    <font>
      <i/>
      <sz val="10"/>
      <color rgb="FF808080"/>
      <name val="Arial"/>
      <family val="0"/>
    </font>
    <font>
      <i/>
      <sz val="10"/>
      <color rgb="FF969696"/>
      <name val="Arial"/>
      <family val="0"/>
    </font>
    <font>
      <b/>
      <sz val="10"/>
      <color rgb="FF000000"/>
      <name val="Arial"/>
      <family val="0"/>
    </font>
    <font>
      <sz val="10"/>
      <color rgb="FF0000FF"/>
      <name val="Arial"/>
      <family val="0"/>
    </font>
    <font>
      <sz val="8"/>
      <color rgb="FF000000"/>
      <name val="Arial"/>
      <family val="0"/>
    </font>
    <font>
      <b/>
      <sz val="11"/>
      <color theme="0"/>
      <name val="Arial"/>
      <family val="0"/>
    </font>
    <font>
      <sz val="11"/>
      <color theme="0"/>
      <name val="Arial"/>
      <family val="0"/>
    </font>
    <font>
      <b/>
      <sz val="12"/>
      <color theme="0"/>
      <name val="Arial"/>
      <family val="0"/>
    </font>
    <font>
      <i/>
      <sz val="10"/>
      <color rgb="FF000000"/>
      <name val="Arial"/>
      <family val="0"/>
    </font>
    <font>
      <b/>
      <sz val="10"/>
      <color rgb="FF0000FF"/>
      <name val="Arial"/>
      <family val="0"/>
    </font>
    <font>
      <b/>
      <sz val="10"/>
      <color rgb="FFFFFFFF"/>
      <name val="Arial"/>
      <family val="0"/>
    </font>
    <font>
      <b/>
      <i/>
      <sz val="10"/>
      <color rgb="FF000000"/>
      <name val="Arial"/>
      <family val="0"/>
    </font>
    <font>
      <b/>
      <sz val="8"/>
      <color rgb="FF000000"/>
      <name val="Arial"/>
      <family val="0"/>
    </font>
    <font>
      <b/>
      <i/>
      <sz val="8"/>
      <color rgb="FF000000"/>
      <name val="Arial"/>
      <family val="0"/>
    </font>
    <font>
      <b/>
      <i/>
      <sz val="10"/>
      <color rgb="FF0000FF"/>
      <name val="Arial"/>
      <family val="0"/>
    </font>
    <font>
      <i/>
      <sz val="8"/>
      <color rgb="FF000000"/>
      <name val="Arial"/>
      <family val="0"/>
    </font>
    <font>
      <i/>
      <sz val="10"/>
      <color rgb="FF0000FF"/>
      <name val="Arial"/>
      <family val="0"/>
    </font>
    <font>
      <b/>
      <sz val="8"/>
      <color theme="1" tint="0.49998000264167786"/>
      <name val="Arial"/>
      <family val="0"/>
    </font>
    <font>
      <b/>
      <sz val="10"/>
      <color theme="1" tint="0.49998000264167786"/>
      <name val="Arial"/>
      <family val="0"/>
    </font>
    <font>
      <sz val="8"/>
      <color theme="1" tint="0.49998000264167786"/>
      <name val="Arial"/>
      <family val="0"/>
    </font>
    <font>
      <sz val="10"/>
      <color theme="1" tint="0.49998000264167786"/>
      <name val="Arial"/>
      <family val="0"/>
    </font>
    <font>
      <i/>
      <sz val="8"/>
      <color theme="1" tint="0.49998000264167786"/>
      <name val="Arial"/>
      <family val="0"/>
    </font>
    <font>
      <i/>
      <sz val="10"/>
      <color theme="1" tint="0.49998000264167786"/>
      <name val="Arial"/>
      <family val="0"/>
    </font>
    <font>
      <b/>
      <sz val="10"/>
      <color theme="1" tint="0.24998000264167786"/>
      <name val="Arial"/>
      <family val="0"/>
    </font>
    <font>
      <sz val="10"/>
      <color theme="1" tint="0.24998000264167786"/>
      <name val="Arial"/>
      <family val="0"/>
    </font>
    <font>
      <sz val="11"/>
      <color theme="1" tint="0.24998000264167786"/>
      <name val="Arial"/>
      <family val="0"/>
    </font>
    <font>
      <sz val="9"/>
      <color rgb="FF000000"/>
      <name val="Arial"/>
      <family val="0"/>
    </font>
    <font>
      <b/>
      <sz val="8"/>
      <color theme="1" tint="0.24998000264167786"/>
      <name val="Arial"/>
      <family val="0"/>
    </font>
    <font>
      <sz val="8"/>
      <color theme="1" tint="0.24998000264167786"/>
      <name val="Arial"/>
      <family val="0"/>
    </font>
    <font>
      <b/>
      <sz val="9"/>
      <color rgb="FF000000"/>
      <name val="Arial"/>
      <family val="0"/>
    </font>
    <font>
      <b/>
      <sz val="12"/>
      <color theme="1" tint="0.24998000264167786"/>
      <name val="Arial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39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000000"/>
      </left>
      <right style="thin">
        <color rgb="FF000000"/>
      </right>
      <top style="thin">
        <color theme="4" tint="0.599990010261535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theme="4" tint="0.5999900102615356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 style="thin"/>
      <top style="thin">
        <color theme="0" tint="-0.24997000396251678"/>
      </top>
      <bottom>
        <color indexed="63"/>
      </bottom>
    </border>
    <border>
      <left style="thin"/>
      <right style="thin">
        <color rgb="FF000000"/>
      </right>
      <top style="thin">
        <color theme="4" tint="0.5999900102615356"/>
      </top>
      <bottom style="thin">
        <color theme="4" tint="0.5999900102615356"/>
      </bottom>
    </border>
    <border>
      <left style="thin">
        <color rgb="FF000000"/>
      </left>
      <right style="thin"/>
      <top style="thin">
        <color theme="4" tint="0.5999900102615356"/>
      </top>
      <bottom style="thin">
        <color theme="4" tint="0.5999900102615356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theme="4" tint="0.5999900102615356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000000"/>
      </right>
      <top>
        <color indexed="63"/>
      </top>
      <bottom style="thin">
        <color theme="4" tint="0.5999900102615356"/>
      </bottom>
    </border>
    <border>
      <left style="thin">
        <color rgb="FF000000"/>
      </left>
      <right style="thin"/>
      <top>
        <color indexed="63"/>
      </top>
      <bottom style="thin">
        <color theme="4" tint="0.5999900102615356"/>
      </bottom>
    </border>
    <border>
      <left style="thin"/>
      <right style="thin">
        <color rgb="FF000000"/>
      </right>
      <top style="thin">
        <color theme="4" tint="0.5999900102615356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theme="0" tint="-0.24997000396251678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</borders>
  <cellStyleXfs count="62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0" borderId="1" applyNumberFormat="0" applyAlignment="0" applyProtection="0"/>
    <xf numFmtId="0" fontId="55" fillId="21" borderId="2" applyNumberFormat="0" applyAlignment="0" applyProtection="0"/>
    <xf numFmtId="0" fontId="56" fillId="0" borderId="3" applyNumberFormat="0" applyFill="0" applyAlignment="0" applyProtection="0"/>
    <xf numFmtId="0" fontId="57" fillId="22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66" fillId="20" borderId="8" applyNumberFormat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</cellStyleXfs>
  <cellXfs count="346">
    <xf numFmtId="0" fontId="0" fillId="0" borderId="0" xfId="0" applyAlignment="1">
      <alignment wrapText="1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0" fontId="69" fillId="33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10" fontId="70" fillId="33" borderId="13" xfId="0" applyNumberFormat="1" applyFont="1" applyFill="1" applyBorder="1" applyAlignment="1">
      <alignment/>
    </xf>
    <xf numFmtId="10" fontId="69" fillId="33" borderId="14" xfId="0" applyNumberFormat="1" applyFont="1" applyFill="1" applyBorder="1" applyAlignment="1">
      <alignment/>
    </xf>
    <xf numFmtId="10" fontId="69" fillId="33" borderId="13" xfId="0" applyNumberFormat="1" applyFont="1" applyFill="1" applyBorder="1" applyAlignment="1">
      <alignment/>
    </xf>
    <xf numFmtId="3" fontId="0" fillId="33" borderId="14" xfId="0" applyNumberFormat="1" applyFont="1" applyFill="1" applyBorder="1" applyAlignment="1">
      <alignment/>
    </xf>
    <xf numFmtId="9" fontId="71" fillId="33" borderId="14" xfId="0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165" fontId="0" fillId="33" borderId="15" xfId="0" applyNumberFormat="1" applyFont="1" applyFill="1" applyBorder="1" applyAlignment="1">
      <alignment/>
    </xf>
    <xf numFmtId="3" fontId="72" fillId="33" borderId="13" xfId="0" applyNumberFormat="1" applyFont="1" applyFill="1" applyBorder="1" applyAlignment="1">
      <alignment/>
    </xf>
    <xf numFmtId="10" fontId="70" fillId="33" borderId="14" xfId="0" applyNumberFormat="1" applyFont="1" applyFill="1" applyBorder="1" applyAlignment="1">
      <alignment/>
    </xf>
    <xf numFmtId="9" fontId="69" fillId="33" borderId="13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166" fontId="0" fillId="33" borderId="14" xfId="0" applyNumberFormat="1" applyFont="1" applyFill="1" applyBorder="1" applyAlignment="1">
      <alignment/>
    </xf>
    <xf numFmtId="0" fontId="0" fillId="33" borderId="14" xfId="0" applyFont="1" applyFill="1" applyBorder="1" applyAlignment="1">
      <alignment/>
    </xf>
    <xf numFmtId="165" fontId="72" fillId="33" borderId="14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33" borderId="14" xfId="0" applyFont="1" applyFill="1" applyBorder="1" applyAlignment="1">
      <alignment/>
    </xf>
    <xf numFmtId="174" fontId="72" fillId="34" borderId="10" xfId="0" applyNumberFormat="1" applyFont="1" applyFill="1" applyBorder="1" applyAlignment="1">
      <alignment/>
    </xf>
    <xf numFmtId="174" fontId="0" fillId="33" borderId="16" xfId="0" applyNumberFormat="1" applyFont="1" applyFill="1" applyBorder="1" applyAlignment="1">
      <alignment/>
    </xf>
    <xf numFmtId="3" fontId="72" fillId="34" borderId="10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10" fontId="73" fillId="33" borderId="16" xfId="0" applyNumberFormat="1" applyFont="1" applyFill="1" applyBorder="1" applyAlignment="1">
      <alignment/>
    </xf>
    <xf numFmtId="10" fontId="0" fillId="33" borderId="16" xfId="0" applyNumberFormat="1" applyFont="1" applyFill="1" applyBorder="1" applyAlignment="1">
      <alignment/>
    </xf>
    <xf numFmtId="3" fontId="72" fillId="33" borderId="16" xfId="0" applyNumberFormat="1" applyFont="1" applyFill="1" applyBorder="1" applyAlignment="1">
      <alignment/>
    </xf>
    <xf numFmtId="3" fontId="72" fillId="33" borderId="16" xfId="0" applyNumberFormat="1" applyFont="1" applyFill="1" applyBorder="1" applyAlignment="1">
      <alignment/>
    </xf>
    <xf numFmtId="3" fontId="0" fillId="33" borderId="16" xfId="0" applyNumberFormat="1" applyFont="1" applyFill="1" applyBorder="1" applyAlignment="1">
      <alignment/>
    </xf>
    <xf numFmtId="0" fontId="0" fillId="0" borderId="0" xfId="0" applyAlignment="1">
      <alignment wrapText="1"/>
    </xf>
    <xf numFmtId="174" fontId="72" fillId="33" borderId="16" xfId="0" applyNumberFormat="1" applyFont="1" applyFill="1" applyBorder="1" applyAlignment="1">
      <alignment/>
    </xf>
    <xf numFmtId="174" fontId="0" fillId="33" borderId="17" xfId="0" applyNumberFormat="1" applyFont="1" applyFill="1" applyBorder="1" applyAlignment="1">
      <alignment/>
    </xf>
    <xf numFmtId="174" fontId="72" fillId="34" borderId="15" xfId="0" applyNumberFormat="1" applyFont="1" applyFill="1" applyBorder="1" applyAlignment="1">
      <alignment/>
    </xf>
    <xf numFmtId="174" fontId="72" fillId="33" borderId="14" xfId="0" applyNumberFormat="1" applyFont="1" applyFill="1" applyBorder="1" applyAlignment="1">
      <alignment/>
    </xf>
    <xf numFmtId="174" fontId="0" fillId="33" borderId="14" xfId="0" applyNumberFormat="1" applyFont="1" applyFill="1" applyBorder="1" applyAlignment="1">
      <alignment/>
    </xf>
    <xf numFmtId="174" fontId="72" fillId="33" borderId="10" xfId="0" applyNumberFormat="1" applyFont="1" applyFill="1" applyBorder="1" applyAlignment="1">
      <alignment/>
    </xf>
    <xf numFmtId="174" fontId="0" fillId="33" borderId="18" xfId="0" applyNumberFormat="1" applyFont="1" applyFill="1" applyBorder="1" applyAlignment="1">
      <alignment/>
    </xf>
    <xf numFmtId="0" fontId="0" fillId="35" borderId="19" xfId="0" applyFont="1" applyFill="1" applyBorder="1" applyAlignment="1">
      <alignment/>
    </xf>
    <xf numFmtId="174" fontId="0" fillId="33" borderId="2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74" fillId="0" borderId="0" xfId="0" applyFont="1" applyFill="1" applyAlignment="1">
      <alignment horizontal="left"/>
    </xf>
    <xf numFmtId="0" fontId="73" fillId="0" borderId="0" xfId="0" applyFont="1" applyFill="1" applyAlignment="1">
      <alignment/>
    </xf>
    <xf numFmtId="0" fontId="0" fillId="0" borderId="0" xfId="0" applyFill="1" applyAlignment="1">
      <alignment wrapText="1"/>
    </xf>
    <xf numFmtId="173" fontId="74" fillId="0" borderId="0" xfId="0" applyNumberFormat="1" applyFont="1" applyFill="1" applyAlignment="1">
      <alignment horizontal="left"/>
    </xf>
    <xf numFmtId="0" fontId="74" fillId="0" borderId="0" xfId="0" applyFont="1" applyFill="1" applyAlignment="1">
      <alignment horizontal="left"/>
    </xf>
    <xf numFmtId="175" fontId="0" fillId="33" borderId="16" xfId="0" applyNumberFormat="1" applyFont="1" applyFill="1" applyBorder="1" applyAlignment="1">
      <alignment/>
    </xf>
    <xf numFmtId="175" fontId="0" fillId="33" borderId="18" xfId="0" applyNumberFormat="1" applyFont="1" applyFill="1" applyBorder="1" applyAlignment="1">
      <alignment/>
    </xf>
    <xf numFmtId="175" fontId="0" fillId="35" borderId="19" xfId="0" applyNumberFormat="1" applyFont="1" applyFill="1" applyBorder="1" applyAlignment="1">
      <alignment/>
    </xf>
    <xf numFmtId="175" fontId="0" fillId="33" borderId="17" xfId="0" applyNumberFormat="1" applyFont="1" applyFill="1" applyBorder="1" applyAlignment="1">
      <alignment/>
    </xf>
    <xf numFmtId="175" fontId="0" fillId="33" borderId="20" xfId="0" applyNumberFormat="1" applyFont="1" applyFill="1" applyBorder="1" applyAlignment="1">
      <alignment/>
    </xf>
    <xf numFmtId="175" fontId="72" fillId="34" borderId="10" xfId="0" applyNumberFormat="1" applyFont="1" applyFill="1" applyBorder="1" applyAlignment="1">
      <alignment/>
    </xf>
    <xf numFmtId="44" fontId="0" fillId="0" borderId="0" xfId="54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35" borderId="0" xfId="0" applyFont="1" applyFill="1" applyAlignment="1">
      <alignment/>
    </xf>
    <xf numFmtId="0" fontId="0" fillId="35" borderId="21" xfId="0" applyFont="1" applyFill="1" applyBorder="1" applyAlignment="1">
      <alignment/>
    </xf>
    <xf numFmtId="0" fontId="0" fillId="35" borderId="0" xfId="0" applyFill="1" applyAlignment="1">
      <alignment wrapText="1"/>
    </xf>
    <xf numFmtId="0" fontId="74" fillId="35" borderId="0" xfId="0" applyFont="1" applyFill="1" applyAlignment="1">
      <alignment horizontal="left"/>
    </xf>
    <xf numFmtId="0" fontId="73" fillId="35" borderId="0" xfId="0" applyFont="1" applyFill="1" applyAlignment="1">
      <alignment/>
    </xf>
    <xf numFmtId="174" fontId="0" fillId="35" borderId="0" xfId="0" applyNumberFormat="1" applyFont="1" applyFill="1" applyAlignment="1">
      <alignment/>
    </xf>
    <xf numFmtId="44" fontId="0" fillId="35" borderId="0" xfId="54" applyFont="1" applyFill="1" applyAlignment="1">
      <alignment/>
    </xf>
    <xf numFmtId="8" fontId="0" fillId="35" borderId="0" xfId="54" applyNumberFormat="1" applyFont="1" applyFill="1" applyAlignment="1">
      <alignment/>
    </xf>
    <xf numFmtId="10" fontId="0" fillId="33" borderId="16" xfId="58" applyNumberFormat="1" applyFont="1" applyFill="1" applyBorder="1" applyAlignment="1">
      <alignment/>
    </xf>
    <xf numFmtId="8" fontId="0" fillId="33" borderId="14" xfId="0" applyNumberFormat="1" applyFont="1" applyFill="1" applyBorder="1" applyAlignment="1">
      <alignment/>
    </xf>
    <xf numFmtId="177" fontId="0" fillId="33" borderId="14" xfId="52" applyNumberFormat="1" applyFont="1" applyFill="1" applyBorder="1" applyAlignment="1">
      <alignment/>
    </xf>
    <xf numFmtId="3" fontId="72" fillId="33" borderId="14" xfId="0" applyNumberFormat="1" applyFont="1" applyFill="1" applyBorder="1" applyAlignment="1">
      <alignment horizontal="center"/>
    </xf>
    <xf numFmtId="0" fontId="75" fillId="36" borderId="21" xfId="0" applyFont="1" applyFill="1" applyBorder="1" applyAlignment="1">
      <alignment vertical="top"/>
    </xf>
    <xf numFmtId="0" fontId="76" fillId="36" borderId="21" xfId="0" applyFont="1" applyFill="1" applyBorder="1" applyAlignment="1">
      <alignment vertical="top"/>
    </xf>
    <xf numFmtId="0" fontId="0" fillId="0" borderId="0" xfId="0" applyAlignment="1">
      <alignment vertical="center" wrapText="1"/>
    </xf>
    <xf numFmtId="0" fontId="77" fillId="36" borderId="21" xfId="0" applyFont="1" applyFill="1" applyBorder="1" applyAlignment="1">
      <alignment horizontal="left" vertical="center"/>
    </xf>
    <xf numFmtId="0" fontId="0" fillId="36" borderId="0" xfId="0" applyFill="1" applyAlignment="1">
      <alignment vertical="center" wrapText="1"/>
    </xf>
    <xf numFmtId="0" fontId="0" fillId="35" borderId="0" xfId="0" applyFill="1" applyAlignment="1">
      <alignment vertical="center" wrapText="1"/>
    </xf>
    <xf numFmtId="0" fontId="0" fillId="35" borderId="22" xfId="0" applyFill="1" applyBorder="1" applyAlignment="1">
      <alignment wrapText="1"/>
    </xf>
    <xf numFmtId="0" fontId="0" fillId="35" borderId="22" xfId="0" applyFont="1" applyFill="1" applyBorder="1" applyAlignment="1">
      <alignment vertical="top"/>
    </xf>
    <xf numFmtId="0" fontId="0" fillId="35" borderId="0" xfId="0" applyFont="1" applyFill="1" applyAlignment="1">
      <alignment vertical="top"/>
    </xf>
    <xf numFmtId="0" fontId="0" fillId="35" borderId="22" xfId="0" applyFont="1" applyFill="1" applyBorder="1" applyAlignment="1">
      <alignment/>
    </xf>
    <xf numFmtId="10" fontId="0" fillId="35" borderId="22" xfId="0" applyNumberFormat="1" applyFont="1" applyFill="1" applyBorder="1" applyAlignment="1">
      <alignment/>
    </xf>
    <xf numFmtId="10" fontId="0" fillId="35" borderId="0" xfId="0" applyNumberFormat="1" applyFont="1" applyFill="1" applyAlignment="1">
      <alignment/>
    </xf>
    <xf numFmtId="165" fontId="0" fillId="35" borderId="22" xfId="0" applyNumberFormat="1" applyFont="1" applyFill="1" applyBorder="1" applyAlignment="1">
      <alignment/>
    </xf>
    <xf numFmtId="165" fontId="0" fillId="35" borderId="0" xfId="0" applyNumberFormat="1" applyFont="1" applyFill="1" applyAlignment="1">
      <alignment/>
    </xf>
    <xf numFmtId="0" fontId="72" fillId="35" borderId="22" xfId="0" applyFont="1" applyFill="1" applyBorder="1" applyAlignment="1">
      <alignment/>
    </xf>
    <xf numFmtId="0" fontId="72" fillId="35" borderId="0" xfId="0" applyFont="1" applyFill="1" applyAlignment="1">
      <alignment/>
    </xf>
    <xf numFmtId="169" fontId="0" fillId="35" borderId="22" xfId="0" applyNumberFormat="1" applyFont="1" applyFill="1" applyBorder="1" applyAlignment="1">
      <alignment/>
    </xf>
    <xf numFmtId="169" fontId="0" fillId="35" borderId="0" xfId="0" applyNumberFormat="1" applyFont="1" applyFill="1" applyAlignment="1">
      <alignment/>
    </xf>
    <xf numFmtId="0" fontId="78" fillId="35" borderId="22" xfId="0" applyFont="1" applyFill="1" applyBorder="1" applyAlignment="1">
      <alignment/>
    </xf>
    <xf numFmtId="0" fontId="78" fillId="35" borderId="0" xfId="0" applyFont="1" applyFill="1" applyAlignment="1">
      <alignment/>
    </xf>
    <xf numFmtId="164" fontId="0" fillId="35" borderId="22" xfId="0" applyNumberFormat="1" applyFont="1" applyFill="1" applyBorder="1" applyAlignment="1">
      <alignment/>
    </xf>
    <xf numFmtId="164" fontId="0" fillId="35" borderId="0" xfId="0" applyNumberFormat="1" applyFont="1" applyFill="1" applyAlignment="1">
      <alignment/>
    </xf>
    <xf numFmtId="164" fontId="72" fillId="35" borderId="22" xfId="0" applyNumberFormat="1" applyFont="1" applyFill="1" applyBorder="1" applyAlignment="1">
      <alignment/>
    </xf>
    <xf numFmtId="164" fontId="72" fillId="35" borderId="0" xfId="0" applyNumberFormat="1" applyFont="1" applyFill="1" applyAlignment="1">
      <alignment/>
    </xf>
    <xf numFmtId="168" fontId="72" fillId="35" borderId="22" xfId="0" applyNumberFormat="1" applyFont="1" applyFill="1" applyBorder="1" applyAlignment="1">
      <alignment/>
    </xf>
    <xf numFmtId="168" fontId="72" fillId="35" borderId="0" xfId="0" applyNumberFormat="1" applyFont="1" applyFill="1" applyAlignment="1">
      <alignment/>
    </xf>
    <xf numFmtId="0" fontId="79" fillId="35" borderId="0" xfId="0" applyFont="1" applyFill="1" applyBorder="1" applyAlignment="1">
      <alignment vertical="top"/>
    </xf>
    <xf numFmtId="166" fontId="0" fillId="33" borderId="23" xfId="0" applyNumberFormat="1" applyFont="1" applyFill="1" applyBorder="1" applyAlignment="1">
      <alignment/>
    </xf>
    <xf numFmtId="10" fontId="0" fillId="33" borderId="14" xfId="58" applyNumberFormat="1" applyFont="1" applyFill="1" applyBorder="1" applyAlignment="1">
      <alignment horizontal="center"/>
    </xf>
    <xf numFmtId="174" fontId="0" fillId="33" borderId="14" xfId="0" applyNumberFormat="1" applyFont="1" applyFill="1" applyBorder="1" applyAlignment="1">
      <alignment/>
    </xf>
    <xf numFmtId="0" fontId="0" fillId="37" borderId="24" xfId="0" applyFont="1" applyFill="1" applyBorder="1" applyAlignment="1">
      <alignment/>
    </xf>
    <xf numFmtId="174" fontId="0" fillId="33" borderId="14" xfId="0" applyNumberFormat="1" applyFont="1" applyFill="1" applyBorder="1" applyAlignment="1">
      <alignment horizontal="center"/>
    </xf>
    <xf numFmtId="178" fontId="72" fillId="33" borderId="25" xfId="0" applyNumberFormat="1" applyFont="1" applyFill="1" applyBorder="1" applyAlignment="1">
      <alignment horizontal="center" vertical="center"/>
    </xf>
    <xf numFmtId="0" fontId="80" fillId="33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/>
    </xf>
    <xf numFmtId="0" fontId="72" fillId="33" borderId="11" xfId="0" applyFont="1" applyFill="1" applyBorder="1" applyAlignment="1">
      <alignment/>
    </xf>
    <xf numFmtId="0" fontId="73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0" fontId="73" fillId="33" borderId="11" xfId="0" applyNumberFormat="1" applyFont="1" applyFill="1" applyBorder="1" applyAlignment="1">
      <alignment horizontal="left"/>
    </xf>
    <xf numFmtId="165" fontId="0" fillId="33" borderId="11" xfId="0" applyNumberFormat="1" applyFont="1" applyFill="1" applyBorder="1" applyAlignment="1">
      <alignment/>
    </xf>
    <xf numFmtId="0" fontId="72" fillId="33" borderId="11" xfId="0" applyFont="1" applyFill="1" applyBorder="1" applyAlignment="1">
      <alignment horizontal="left"/>
    </xf>
    <xf numFmtId="10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/>
    </xf>
    <xf numFmtId="169" fontId="0" fillId="33" borderId="11" xfId="0" applyNumberFormat="1" applyFont="1" applyFill="1" applyBorder="1" applyAlignment="1">
      <alignment/>
    </xf>
    <xf numFmtId="0" fontId="71" fillId="33" borderId="11" xfId="0" applyFont="1" applyFill="1" applyBorder="1" applyAlignment="1">
      <alignment/>
    </xf>
    <xf numFmtId="164" fontId="0" fillId="33" borderId="11" xfId="0" applyNumberFormat="1" applyFont="1" applyFill="1" applyBorder="1" applyAlignment="1">
      <alignment horizontal="left"/>
    </xf>
    <xf numFmtId="164" fontId="0" fillId="33" borderId="11" xfId="0" applyNumberFormat="1" applyFont="1" applyFill="1" applyBorder="1" applyAlignment="1">
      <alignment/>
    </xf>
    <xf numFmtId="164" fontId="72" fillId="33" borderId="11" xfId="0" applyNumberFormat="1" applyFont="1" applyFill="1" applyBorder="1" applyAlignment="1">
      <alignment/>
    </xf>
    <xf numFmtId="3" fontId="72" fillId="33" borderId="11" xfId="0" applyNumberFormat="1" applyFont="1" applyFill="1" applyBorder="1" applyAlignment="1">
      <alignment/>
    </xf>
    <xf numFmtId="168" fontId="72" fillId="33" borderId="11" xfId="0" applyNumberFormat="1" applyFont="1" applyFill="1" applyBorder="1" applyAlignment="1">
      <alignment/>
    </xf>
    <xf numFmtId="0" fontId="72" fillId="33" borderId="11" xfId="0" applyFont="1" applyFill="1" applyBorder="1" applyAlignment="1">
      <alignment vertical="top"/>
    </xf>
    <xf numFmtId="0" fontId="81" fillId="33" borderId="11" xfId="0" applyFont="1" applyFill="1" applyBorder="1" applyAlignment="1">
      <alignment/>
    </xf>
    <xf numFmtId="0" fontId="78" fillId="33" borderId="11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74" fillId="35" borderId="0" xfId="0" applyFont="1" applyFill="1" applyBorder="1" applyAlignment="1">
      <alignment horizontal="left"/>
    </xf>
    <xf numFmtId="0" fontId="73" fillId="35" borderId="0" xfId="0" applyFont="1" applyFill="1" applyBorder="1" applyAlignment="1">
      <alignment/>
    </xf>
    <xf numFmtId="174" fontId="72" fillId="33" borderId="21" xfId="0" applyNumberFormat="1" applyFont="1" applyFill="1" applyBorder="1" applyAlignment="1">
      <alignment/>
    </xf>
    <xf numFmtId="176" fontId="76" fillId="36" borderId="21" xfId="0" applyNumberFormat="1" applyFont="1" applyFill="1" applyBorder="1" applyAlignment="1">
      <alignment vertical="top"/>
    </xf>
    <xf numFmtId="174" fontId="72" fillId="33" borderId="26" xfId="0" applyNumberFormat="1" applyFont="1" applyFill="1" applyBorder="1" applyAlignment="1">
      <alignment/>
    </xf>
    <xf numFmtId="174" fontId="72" fillId="33" borderId="27" xfId="0" applyNumberFormat="1" applyFont="1" applyFill="1" applyBorder="1" applyAlignment="1">
      <alignment/>
    </xf>
    <xf numFmtId="174" fontId="72" fillId="33" borderId="12" xfId="0" applyNumberFormat="1" applyFont="1" applyFill="1" applyBorder="1" applyAlignment="1">
      <alignment/>
    </xf>
    <xf numFmtId="0" fontId="72" fillId="38" borderId="0" xfId="0" applyFont="1" applyFill="1" applyBorder="1" applyAlignment="1">
      <alignment/>
    </xf>
    <xf numFmtId="0" fontId="79" fillId="38" borderId="0" xfId="0" applyFont="1" applyFill="1" applyBorder="1" applyAlignment="1">
      <alignment vertical="top"/>
    </xf>
    <xf numFmtId="0" fontId="0" fillId="38" borderId="0" xfId="0" applyFont="1" applyFill="1" applyBorder="1" applyAlignment="1">
      <alignment/>
    </xf>
    <xf numFmtId="0" fontId="74" fillId="38" borderId="0" xfId="0" applyFont="1" applyFill="1" applyBorder="1" applyAlignment="1">
      <alignment horizontal="left"/>
    </xf>
    <xf numFmtId="0" fontId="73" fillId="38" borderId="0" xfId="0" applyFont="1" applyFill="1" applyBorder="1" applyAlignment="1">
      <alignment/>
    </xf>
    <xf numFmtId="0" fontId="80" fillId="38" borderId="0" xfId="0" applyFont="1" applyFill="1" applyBorder="1" applyAlignment="1">
      <alignment vertical="top"/>
    </xf>
    <xf numFmtId="0" fontId="0" fillId="38" borderId="0" xfId="0" applyFont="1" applyFill="1" applyBorder="1" applyAlignment="1">
      <alignment/>
    </xf>
    <xf numFmtId="0" fontId="72" fillId="38" borderId="0" xfId="0" applyFont="1" applyFill="1" applyBorder="1" applyAlignment="1">
      <alignment/>
    </xf>
    <xf numFmtId="0" fontId="0" fillId="38" borderId="0" xfId="0" applyFont="1" applyFill="1" applyBorder="1" applyAlignment="1">
      <alignment horizontal="left"/>
    </xf>
    <xf numFmtId="0" fontId="72" fillId="38" borderId="0" xfId="0" applyFont="1" applyFill="1" applyBorder="1" applyAlignment="1">
      <alignment horizontal="left"/>
    </xf>
    <xf numFmtId="0" fontId="80" fillId="38" borderId="0" xfId="0" applyFont="1" applyFill="1" applyBorder="1" applyAlignment="1">
      <alignment vertical="top"/>
    </xf>
    <xf numFmtId="3" fontId="0" fillId="38" borderId="0" xfId="0" applyNumberFormat="1" applyFont="1" applyFill="1" applyBorder="1" applyAlignment="1">
      <alignment/>
    </xf>
    <xf numFmtId="0" fontId="71" fillId="38" borderId="0" xfId="0" applyFont="1" applyFill="1" applyBorder="1" applyAlignment="1">
      <alignment/>
    </xf>
    <xf numFmtId="164" fontId="72" fillId="38" borderId="0" xfId="0" applyNumberFormat="1" applyFont="1" applyFill="1" applyBorder="1" applyAlignment="1">
      <alignment/>
    </xf>
    <xf numFmtId="168" fontId="72" fillId="38" borderId="0" xfId="0" applyNumberFormat="1" applyFont="1" applyFill="1" applyBorder="1" applyAlignment="1">
      <alignment/>
    </xf>
    <xf numFmtId="0" fontId="72" fillId="38" borderId="0" xfId="0" applyFont="1" applyFill="1" applyBorder="1" applyAlignment="1">
      <alignment vertical="top"/>
    </xf>
    <xf numFmtId="0" fontId="81" fillId="38" borderId="0" xfId="0" applyFont="1" applyFill="1" applyBorder="1" applyAlignment="1">
      <alignment/>
    </xf>
    <xf numFmtId="0" fontId="78" fillId="38" borderId="0" xfId="0" applyFont="1" applyFill="1" applyBorder="1" applyAlignment="1">
      <alignment/>
    </xf>
    <xf numFmtId="0" fontId="78" fillId="38" borderId="0" xfId="0" applyFont="1" applyFill="1" applyBorder="1" applyAlignment="1">
      <alignment/>
    </xf>
    <xf numFmtId="168" fontId="82" fillId="38" borderId="0" xfId="0" applyNumberFormat="1" applyFont="1" applyFill="1" applyBorder="1" applyAlignment="1">
      <alignment horizontal="left"/>
    </xf>
    <xf numFmtId="0" fontId="74" fillId="38" borderId="0" xfId="0" applyFont="1" applyFill="1" applyBorder="1" applyAlignment="1">
      <alignment horizontal="left"/>
    </xf>
    <xf numFmtId="0" fontId="79" fillId="38" borderId="0" xfId="0" applyFont="1" applyFill="1" applyBorder="1" applyAlignment="1">
      <alignment/>
    </xf>
    <xf numFmtId="0" fontId="79" fillId="38" borderId="0" xfId="0" applyFont="1" applyFill="1" applyBorder="1" applyAlignment="1">
      <alignment/>
    </xf>
    <xf numFmtId="0" fontId="73" fillId="38" borderId="0" xfId="0" applyFont="1" applyFill="1" applyBorder="1" applyAlignment="1">
      <alignment/>
    </xf>
    <xf numFmtId="0" fontId="73" fillId="38" borderId="0" xfId="0" applyFont="1" applyFill="1" applyBorder="1" applyAlignment="1">
      <alignment/>
    </xf>
    <xf numFmtId="0" fontId="82" fillId="38" borderId="0" xfId="0" applyFont="1" applyFill="1" applyBorder="1" applyAlignment="1">
      <alignment horizontal="left"/>
    </xf>
    <xf numFmtId="168" fontId="79" fillId="38" borderId="0" xfId="0" applyNumberFormat="1" applyFont="1" applyFill="1" applyBorder="1" applyAlignment="1">
      <alignment/>
    </xf>
    <xf numFmtId="168" fontId="79" fillId="38" borderId="0" xfId="0" applyNumberFormat="1" applyFont="1" applyFill="1" applyBorder="1" applyAlignment="1">
      <alignment/>
    </xf>
    <xf numFmtId="0" fontId="82" fillId="38" borderId="0" xfId="0" applyFont="1" applyFill="1" applyBorder="1" applyAlignment="1">
      <alignment horizontal="left" vertical="top"/>
    </xf>
    <xf numFmtId="0" fontId="79" fillId="38" borderId="0" xfId="0" applyFont="1" applyFill="1" applyBorder="1" applyAlignment="1">
      <alignment vertical="top"/>
    </xf>
    <xf numFmtId="0" fontId="79" fillId="38" borderId="0" xfId="0" applyFont="1" applyFill="1" applyBorder="1" applyAlignment="1">
      <alignment vertical="top"/>
    </xf>
    <xf numFmtId="0" fontId="83" fillId="38" borderId="0" xfId="0" applyFont="1" applyFill="1" applyBorder="1" applyAlignment="1">
      <alignment horizontal="left"/>
    </xf>
    <xf numFmtId="0" fontId="84" fillId="38" borderId="0" xfId="0" applyFont="1" applyFill="1" applyBorder="1" applyAlignment="1">
      <alignment/>
    </xf>
    <xf numFmtId="0" fontId="84" fillId="38" borderId="0" xfId="0" applyFont="1" applyFill="1" applyBorder="1" applyAlignment="1">
      <alignment/>
    </xf>
    <xf numFmtId="0" fontId="85" fillId="38" borderId="0" xfId="0" applyFont="1" applyFill="1" applyBorder="1" applyAlignment="1">
      <alignment horizontal="left"/>
    </xf>
    <xf numFmtId="0" fontId="86" fillId="38" borderId="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0" fontId="85" fillId="38" borderId="0" xfId="0" applyFont="1" applyFill="1" applyBorder="1" applyAlignment="1">
      <alignment horizontal="left"/>
    </xf>
    <xf numFmtId="0" fontId="86" fillId="38" borderId="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167" fontId="73" fillId="38" borderId="0" xfId="0" applyNumberFormat="1" applyFont="1" applyFill="1" applyBorder="1" applyAlignment="1">
      <alignment/>
    </xf>
    <xf numFmtId="3" fontId="73" fillId="38" borderId="0" xfId="0" applyNumberFormat="1" applyFont="1" applyFill="1" applyBorder="1" applyAlignment="1">
      <alignment/>
    </xf>
    <xf numFmtId="164" fontId="79" fillId="38" borderId="0" xfId="0" applyNumberFormat="1" applyFont="1" applyFill="1" applyBorder="1" applyAlignment="1">
      <alignment/>
    </xf>
    <xf numFmtId="165" fontId="73" fillId="38" borderId="0" xfId="0" applyNumberFormat="1" applyFont="1" applyFill="1" applyBorder="1" applyAlignment="1">
      <alignment/>
    </xf>
    <xf numFmtId="0" fontId="87" fillId="38" borderId="0" xfId="0" applyFont="1" applyFill="1" applyBorder="1" applyAlignment="1">
      <alignment horizontal="left"/>
    </xf>
    <xf numFmtId="0" fontId="88" fillId="38" borderId="0" xfId="0" applyFont="1" applyFill="1" applyBorder="1" applyAlignment="1">
      <alignment/>
    </xf>
    <xf numFmtId="0" fontId="89" fillId="38" borderId="0" xfId="0" applyFont="1" applyFill="1" applyBorder="1" applyAlignment="1">
      <alignment horizontal="left"/>
    </xf>
    <xf numFmtId="0" fontId="90" fillId="38" borderId="0" xfId="0" applyFont="1" applyFill="1" applyBorder="1" applyAlignment="1">
      <alignment/>
    </xf>
    <xf numFmtId="0" fontId="87" fillId="38" borderId="0" xfId="0" applyFont="1" applyFill="1" applyBorder="1" applyAlignment="1">
      <alignment horizontal="left" vertical="top"/>
    </xf>
    <xf numFmtId="0" fontId="88" fillId="38" borderId="0" xfId="0" applyFont="1" applyFill="1" applyBorder="1" applyAlignment="1">
      <alignment vertical="top"/>
    </xf>
    <xf numFmtId="168" fontId="87" fillId="38" borderId="0" xfId="0" applyNumberFormat="1" applyFont="1" applyFill="1" applyBorder="1" applyAlignment="1">
      <alignment horizontal="left"/>
    </xf>
    <xf numFmtId="0" fontId="91" fillId="38" borderId="0" xfId="0" applyFont="1" applyFill="1" applyBorder="1" applyAlignment="1">
      <alignment horizontal="left"/>
    </xf>
    <xf numFmtId="0" fontId="92" fillId="38" borderId="0" xfId="0" applyFont="1" applyFill="1" applyBorder="1" applyAlignment="1">
      <alignment/>
    </xf>
    <xf numFmtId="0" fontId="93" fillId="38" borderId="0" xfId="0" applyFont="1" applyFill="1" applyBorder="1" applyAlignment="1">
      <alignment/>
    </xf>
    <xf numFmtId="0" fontId="94" fillId="38" borderId="0" xfId="0" applyFont="1" applyFill="1" applyBorder="1" applyAlignment="1">
      <alignment/>
    </xf>
    <xf numFmtId="0" fontId="95" fillId="38" borderId="0" xfId="0" applyFont="1" applyFill="1" applyBorder="1" applyAlignment="1">
      <alignment horizontal="left" indent="1"/>
    </xf>
    <xf numFmtId="0" fontId="95" fillId="38" borderId="0" xfId="0" applyFont="1" applyFill="1" applyBorder="1" applyAlignment="1">
      <alignment horizontal="left"/>
    </xf>
    <xf numFmtId="0" fontId="73" fillId="2" borderId="28" xfId="52" applyNumberFormat="1" applyFont="1" applyFill="1" applyBorder="1" applyAlignment="1" applyProtection="1">
      <alignment horizontal="center"/>
      <protection locked="0"/>
    </xf>
    <xf numFmtId="0" fontId="74" fillId="38" borderId="0" xfId="0" applyFont="1" applyFill="1" applyBorder="1" applyAlignment="1">
      <alignment horizontal="right"/>
    </xf>
    <xf numFmtId="0" fontId="73" fillId="38" borderId="0" xfId="0" applyFont="1" applyFill="1" applyBorder="1" applyAlignment="1">
      <alignment/>
    </xf>
    <xf numFmtId="0" fontId="94" fillId="38" borderId="0" xfId="0" applyFont="1" applyFill="1" applyBorder="1" applyAlignment="1">
      <alignment horizontal="left"/>
    </xf>
    <xf numFmtId="0" fontId="82" fillId="38" borderId="0" xfId="0" applyFont="1" applyFill="1" applyBorder="1" applyAlignment="1">
      <alignment horizontal="left"/>
    </xf>
    <xf numFmtId="0" fontId="79" fillId="38" borderId="0" xfId="0" applyFont="1" applyFill="1" applyBorder="1" applyAlignment="1">
      <alignment/>
    </xf>
    <xf numFmtId="0" fontId="73" fillId="2" borderId="28" xfId="52" applyNumberFormat="1" applyFont="1" applyFill="1" applyBorder="1" applyAlignment="1" applyProtection="1">
      <alignment horizontal="right"/>
      <protection locked="0"/>
    </xf>
    <xf numFmtId="10" fontId="74" fillId="38" borderId="0" xfId="0" applyNumberFormat="1" applyFont="1" applyFill="1" applyBorder="1" applyAlignment="1">
      <alignment horizontal="left"/>
    </xf>
    <xf numFmtId="10" fontId="73" fillId="38" borderId="0" xfId="0" applyNumberFormat="1" applyFont="1" applyFill="1" applyBorder="1" applyAlignment="1">
      <alignment/>
    </xf>
    <xf numFmtId="0" fontId="74" fillId="38" borderId="0" xfId="0" applyFont="1" applyFill="1" applyBorder="1" applyAlignment="1">
      <alignment horizontal="left"/>
    </xf>
    <xf numFmtId="0" fontId="73" fillId="38" borderId="0" xfId="0" applyFont="1" applyFill="1" applyBorder="1" applyAlignment="1">
      <alignment/>
    </xf>
    <xf numFmtId="10" fontId="73" fillId="2" borderId="28" xfId="58" applyNumberFormat="1" applyFont="1" applyFill="1" applyBorder="1" applyAlignment="1" applyProtection="1">
      <alignment horizontal="right"/>
      <protection locked="0"/>
    </xf>
    <xf numFmtId="0" fontId="0" fillId="38" borderId="0" xfId="0" applyFont="1" applyFill="1" applyBorder="1" applyAlignment="1">
      <alignment horizontal="left"/>
    </xf>
    <xf numFmtId="165" fontId="73" fillId="38" borderId="0" xfId="0" applyNumberFormat="1" applyFont="1" applyFill="1" applyBorder="1" applyAlignment="1">
      <alignment/>
    </xf>
    <xf numFmtId="167" fontId="73" fillId="38" borderId="0" xfId="0" applyNumberFormat="1" applyFont="1" applyFill="1" applyBorder="1" applyAlignment="1">
      <alignment/>
    </xf>
    <xf numFmtId="0" fontId="82" fillId="38" borderId="0" xfId="0" applyFont="1" applyFill="1" applyBorder="1" applyAlignment="1">
      <alignment horizontal="left"/>
    </xf>
    <xf numFmtId="0" fontId="79" fillId="38" borderId="0" xfId="0" applyFont="1" applyFill="1" applyBorder="1" applyAlignment="1">
      <alignment/>
    </xf>
    <xf numFmtId="176" fontId="73" fillId="2" borderId="28" xfId="52" applyNumberFormat="1" applyFont="1" applyFill="1" applyBorder="1" applyAlignment="1" applyProtection="1">
      <alignment horizontal="right"/>
      <protection locked="0"/>
    </xf>
    <xf numFmtId="10" fontId="0" fillId="38" borderId="0" xfId="0" applyNumberFormat="1" applyFont="1" applyFill="1" applyBorder="1" applyAlignment="1">
      <alignment horizontal="left"/>
    </xf>
    <xf numFmtId="0" fontId="72" fillId="38" borderId="0" xfId="0" applyFont="1" applyFill="1" applyBorder="1" applyAlignment="1">
      <alignment horizontal="left"/>
    </xf>
    <xf numFmtId="169" fontId="0" fillId="38" borderId="0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72" fillId="38" borderId="0" xfId="0" applyFont="1" applyFill="1" applyBorder="1" applyAlignment="1">
      <alignment/>
    </xf>
    <xf numFmtId="9" fontId="73" fillId="38" borderId="0" xfId="0" applyNumberFormat="1" applyFont="1" applyFill="1" applyBorder="1" applyAlignment="1">
      <alignment/>
    </xf>
    <xf numFmtId="0" fontId="74" fillId="38" borderId="0" xfId="0" applyFont="1" applyFill="1" applyBorder="1" applyAlignment="1">
      <alignment/>
    </xf>
    <xf numFmtId="3" fontId="89" fillId="38" borderId="0" xfId="0" applyNumberFormat="1" applyFont="1" applyFill="1" applyBorder="1" applyAlignment="1">
      <alignment horizontal="left"/>
    </xf>
    <xf numFmtId="3" fontId="90" fillId="38" borderId="0" xfId="0" applyNumberFormat="1" applyFont="1" applyFill="1" applyBorder="1" applyAlignment="1">
      <alignment/>
    </xf>
    <xf numFmtId="0" fontId="90" fillId="38" borderId="0" xfId="0" applyFont="1" applyFill="1" applyBorder="1" applyAlignment="1">
      <alignment horizontal="left"/>
    </xf>
    <xf numFmtId="0" fontId="82" fillId="38" borderId="0" xfId="0" applyFont="1" applyFill="1" applyBorder="1" applyAlignment="1">
      <alignment horizontal="left"/>
    </xf>
    <xf numFmtId="0" fontId="79" fillId="38" borderId="0" xfId="0" applyFont="1" applyFill="1" applyBorder="1" applyAlignment="1">
      <alignment/>
    </xf>
    <xf numFmtId="169" fontId="96" fillId="35" borderId="28" xfId="0" applyNumberFormat="1" applyFont="1" applyFill="1" applyBorder="1" applyAlignment="1">
      <alignment horizontal="left"/>
    </xf>
    <xf numFmtId="0" fontId="96" fillId="35" borderId="28" xfId="0" applyFont="1" applyFill="1" applyBorder="1" applyAlignment="1">
      <alignment horizontal="left"/>
    </xf>
    <xf numFmtId="0" fontId="96" fillId="35" borderId="28" xfId="0" applyFont="1" applyFill="1" applyBorder="1" applyAlignment="1">
      <alignment horizontal="center" wrapText="1"/>
    </xf>
    <xf numFmtId="164" fontId="0" fillId="38" borderId="0" xfId="0" applyNumberFormat="1" applyFont="1" applyFill="1" applyBorder="1" applyAlignment="1">
      <alignment horizontal="left"/>
    </xf>
    <xf numFmtId="164" fontId="0" fillId="38" borderId="0" xfId="0" applyNumberFormat="1" applyFont="1" applyFill="1" applyBorder="1" applyAlignment="1">
      <alignment/>
    </xf>
    <xf numFmtId="3" fontId="72" fillId="38" borderId="0" xfId="0" applyNumberFormat="1" applyFont="1" applyFill="1" applyBorder="1" applyAlignment="1">
      <alignment/>
    </xf>
    <xf numFmtId="3" fontId="74" fillId="38" borderId="0" xfId="0" applyNumberFormat="1" applyFont="1" applyFill="1" applyBorder="1" applyAlignment="1">
      <alignment/>
    </xf>
    <xf numFmtId="0" fontId="97" fillId="38" borderId="0" xfId="0" applyFont="1" applyFill="1" applyBorder="1" applyAlignment="1">
      <alignment horizontal="left"/>
    </xf>
    <xf numFmtId="173" fontId="73" fillId="2" borderId="28" xfId="0" applyNumberFormat="1" applyFont="1" applyFill="1" applyBorder="1" applyAlignment="1" applyProtection="1">
      <alignment horizontal="left"/>
      <protection locked="0"/>
    </xf>
    <xf numFmtId="171" fontId="73" fillId="2" borderId="28" xfId="54" applyNumberFormat="1" applyFont="1" applyFill="1" applyBorder="1" applyAlignment="1" applyProtection="1">
      <alignment/>
      <protection locked="0"/>
    </xf>
    <xf numFmtId="171" fontId="73" fillId="2" borderId="28" xfId="54" applyNumberFormat="1" applyFont="1" applyFill="1" applyBorder="1" applyAlignment="1" applyProtection="1">
      <alignment/>
      <protection locked="0"/>
    </xf>
    <xf numFmtId="171" fontId="73" fillId="2" borderId="28" xfId="54" applyNumberFormat="1" applyFont="1" applyFill="1" applyBorder="1" applyAlignment="1" applyProtection="1">
      <alignment/>
      <protection locked="0"/>
    </xf>
    <xf numFmtId="172" fontId="0" fillId="35" borderId="29" xfId="0" applyNumberFormat="1" applyFont="1" applyFill="1" applyBorder="1" applyAlignment="1">
      <alignment horizontal="left"/>
    </xf>
    <xf numFmtId="9" fontId="73" fillId="2" borderId="29" xfId="58" applyFont="1" applyFill="1" applyBorder="1" applyAlignment="1" applyProtection="1">
      <alignment/>
      <protection locked="0"/>
    </xf>
    <xf numFmtId="3" fontId="96" fillId="35" borderId="30" xfId="0" applyNumberFormat="1" applyFont="1" applyFill="1" applyBorder="1" applyAlignment="1">
      <alignment horizontal="left"/>
    </xf>
    <xf numFmtId="3" fontId="96" fillId="35" borderId="30" xfId="0" applyNumberFormat="1" applyFont="1" applyFill="1" applyBorder="1" applyAlignment="1">
      <alignment/>
    </xf>
    <xf numFmtId="164" fontId="97" fillId="38" borderId="0" xfId="0" applyNumberFormat="1" applyFont="1" applyFill="1" applyBorder="1" applyAlignment="1">
      <alignment horizontal="left"/>
    </xf>
    <xf numFmtId="164" fontId="93" fillId="38" borderId="0" xfId="0" applyNumberFormat="1" applyFont="1" applyFill="1" applyBorder="1" applyAlignment="1">
      <alignment/>
    </xf>
    <xf numFmtId="165" fontId="79" fillId="38" borderId="0" xfId="0" applyNumberFormat="1" applyFont="1" applyFill="1" applyBorder="1" applyAlignment="1">
      <alignment/>
    </xf>
    <xf numFmtId="0" fontId="98" fillId="38" borderId="0" xfId="0" applyFont="1" applyFill="1" applyBorder="1" applyAlignment="1">
      <alignment horizontal="left"/>
    </xf>
    <xf numFmtId="165" fontId="94" fillId="38" borderId="0" xfId="0" applyNumberFormat="1" applyFont="1" applyFill="1" applyBorder="1" applyAlignment="1">
      <alignment/>
    </xf>
    <xf numFmtId="0" fontId="96" fillId="35" borderId="28" xfId="0" applyFont="1" applyFill="1" applyBorder="1" applyAlignment="1">
      <alignment horizontal="right"/>
    </xf>
    <xf numFmtId="0" fontId="75" fillId="36" borderId="31" xfId="0" applyFont="1" applyFill="1" applyBorder="1" applyAlignment="1">
      <alignment vertical="top"/>
    </xf>
    <xf numFmtId="0" fontId="75" fillId="36" borderId="32" xfId="0" applyFont="1" applyFill="1" applyBorder="1" applyAlignment="1">
      <alignment vertical="top"/>
    </xf>
    <xf numFmtId="0" fontId="75" fillId="36" borderId="33" xfId="0" applyFont="1" applyFill="1" applyBorder="1" applyAlignment="1">
      <alignment vertical="top"/>
    </xf>
    <xf numFmtId="0" fontId="0" fillId="33" borderId="34" xfId="0" applyFont="1" applyFill="1" applyBorder="1" applyAlignment="1">
      <alignment/>
    </xf>
    <xf numFmtId="0" fontId="0" fillId="34" borderId="35" xfId="0" applyFont="1" applyFill="1" applyBorder="1" applyAlignment="1">
      <alignment/>
    </xf>
    <xf numFmtId="0" fontId="72" fillId="37" borderId="36" xfId="0" applyFont="1" applyFill="1" applyBorder="1" applyAlignment="1">
      <alignment/>
    </xf>
    <xf numFmtId="0" fontId="0" fillId="37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0" fontId="99" fillId="33" borderId="38" xfId="0" applyFont="1" applyFill="1" applyBorder="1" applyAlignment="1">
      <alignment horizontal="left"/>
    </xf>
    <xf numFmtId="10" fontId="0" fillId="33" borderId="38" xfId="0" applyNumberFormat="1" applyFont="1" applyFill="1" applyBorder="1" applyAlignment="1">
      <alignment horizontal="left"/>
    </xf>
    <xf numFmtId="10" fontId="73" fillId="34" borderId="39" xfId="0" applyNumberFormat="1" applyFont="1" applyFill="1" applyBorder="1" applyAlignment="1">
      <alignment/>
    </xf>
    <xf numFmtId="0" fontId="0" fillId="33" borderId="38" xfId="0" applyFont="1" applyFill="1" applyBorder="1" applyAlignment="1">
      <alignment horizontal="left"/>
    </xf>
    <xf numFmtId="164" fontId="0" fillId="0" borderId="38" xfId="0" applyNumberFormat="1" applyFont="1" applyFill="1" applyBorder="1" applyAlignment="1">
      <alignment horizontal="left"/>
    </xf>
    <xf numFmtId="174" fontId="0" fillId="34" borderId="39" xfId="0" applyNumberFormat="1" applyFont="1" applyFill="1" applyBorder="1" applyAlignment="1">
      <alignment/>
    </xf>
    <xf numFmtId="175" fontId="0" fillId="34" borderId="39" xfId="0" applyNumberFormat="1" applyFont="1" applyFill="1" applyBorder="1" applyAlignment="1">
      <alignment/>
    </xf>
    <xf numFmtId="0" fontId="72" fillId="33" borderId="38" xfId="0" applyFont="1" applyFill="1" applyBorder="1" applyAlignment="1">
      <alignment horizontal="left"/>
    </xf>
    <xf numFmtId="3" fontId="72" fillId="34" borderId="39" xfId="0" applyNumberFormat="1" applyFont="1" applyFill="1" applyBorder="1" applyAlignment="1">
      <alignment/>
    </xf>
    <xf numFmtId="0" fontId="72" fillId="34" borderId="34" xfId="0" applyFont="1" applyFill="1" applyBorder="1" applyAlignment="1">
      <alignment/>
    </xf>
    <xf numFmtId="3" fontId="72" fillId="39" borderId="35" xfId="0" applyNumberFormat="1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4" borderId="41" xfId="0" applyFont="1" applyFill="1" applyBorder="1" applyAlignment="1">
      <alignment/>
    </xf>
    <xf numFmtId="3" fontId="73" fillId="34" borderId="39" xfId="0" applyNumberFormat="1" applyFont="1" applyFill="1" applyBorder="1" applyAlignment="1">
      <alignment/>
    </xf>
    <xf numFmtId="3" fontId="72" fillId="34" borderId="39" xfId="0" applyNumberFormat="1" applyFont="1" applyFill="1" applyBorder="1" applyAlignment="1">
      <alignment/>
    </xf>
    <xf numFmtId="3" fontId="0" fillId="34" borderId="39" xfId="0" applyNumberFormat="1" applyFont="1" applyFill="1" applyBorder="1" applyAlignment="1">
      <alignment/>
    </xf>
    <xf numFmtId="0" fontId="72" fillId="34" borderId="34" xfId="0" applyFont="1" applyFill="1" applyBorder="1" applyAlignment="1">
      <alignment horizontal="left"/>
    </xf>
    <xf numFmtId="0" fontId="72" fillId="33" borderId="42" xfId="0" applyFont="1" applyFill="1" applyBorder="1" applyAlignment="1">
      <alignment horizontal="left"/>
    </xf>
    <xf numFmtId="3" fontId="72" fillId="34" borderId="43" xfId="0" applyNumberFormat="1" applyFont="1" applyFill="1" applyBorder="1" applyAlignment="1">
      <alignment/>
    </xf>
    <xf numFmtId="0" fontId="0" fillId="33" borderId="44" xfId="0" applyFont="1" applyFill="1" applyBorder="1" applyAlignment="1">
      <alignment horizontal="left"/>
    </xf>
    <xf numFmtId="3" fontId="0" fillId="34" borderId="45" xfId="0" applyNumberFormat="1" applyFont="1" applyFill="1" applyBorder="1" applyAlignment="1">
      <alignment/>
    </xf>
    <xf numFmtId="0" fontId="75" fillId="36" borderId="46" xfId="0" applyFont="1" applyFill="1" applyBorder="1" applyAlignment="1">
      <alignment vertical="top"/>
    </xf>
    <xf numFmtId="0" fontId="75" fillId="36" borderId="47" xfId="0" applyFont="1" applyFill="1" applyBorder="1" applyAlignment="1">
      <alignment vertical="top"/>
    </xf>
    <xf numFmtId="0" fontId="0" fillId="33" borderId="38" xfId="0" applyFont="1" applyFill="1" applyBorder="1" applyAlignment="1">
      <alignment horizontal="left"/>
    </xf>
    <xf numFmtId="164" fontId="0" fillId="0" borderId="38" xfId="0" applyNumberFormat="1" applyFont="1" applyFill="1" applyBorder="1" applyAlignment="1">
      <alignment horizontal="left"/>
    </xf>
    <xf numFmtId="164" fontId="72" fillId="0" borderId="38" xfId="0" applyNumberFormat="1" applyFont="1" applyFill="1" applyBorder="1" applyAlignment="1">
      <alignment horizontal="left"/>
    </xf>
    <xf numFmtId="174" fontId="72" fillId="34" borderId="39" xfId="0" applyNumberFormat="1" applyFont="1" applyFill="1" applyBorder="1" applyAlignment="1">
      <alignment/>
    </xf>
    <xf numFmtId="0" fontId="0" fillId="33" borderId="44" xfId="0" applyFont="1" applyFill="1" applyBorder="1" applyAlignment="1">
      <alignment/>
    </xf>
    <xf numFmtId="174" fontId="0" fillId="34" borderId="48" xfId="0" applyNumberFormat="1" applyFont="1" applyFill="1" applyBorder="1" applyAlignment="1">
      <alignment/>
    </xf>
    <xf numFmtId="0" fontId="72" fillId="34" borderId="40" xfId="0" applyFont="1" applyFill="1" applyBorder="1" applyAlignment="1">
      <alignment/>
    </xf>
    <xf numFmtId="174" fontId="72" fillId="39" borderId="41" xfId="0" applyNumberFormat="1" applyFont="1" applyFill="1" applyBorder="1" applyAlignment="1">
      <alignment/>
    </xf>
    <xf numFmtId="0" fontId="69" fillId="33" borderId="42" xfId="0" applyFont="1" applyFill="1" applyBorder="1" applyAlignment="1">
      <alignment/>
    </xf>
    <xf numFmtId="9" fontId="71" fillId="34" borderId="43" xfId="0" applyNumberFormat="1" applyFont="1" applyFill="1" applyBorder="1" applyAlignment="1">
      <alignment/>
    </xf>
    <xf numFmtId="0" fontId="71" fillId="33" borderId="44" xfId="0" applyFont="1" applyFill="1" applyBorder="1" applyAlignment="1">
      <alignment/>
    </xf>
    <xf numFmtId="9" fontId="71" fillId="34" borderId="45" xfId="0" applyNumberFormat="1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72" fillId="35" borderId="49" xfId="0" applyFont="1" applyFill="1" applyBorder="1" applyAlignment="1">
      <alignment/>
    </xf>
    <xf numFmtId="0" fontId="0" fillId="35" borderId="50" xfId="0" applyFont="1" applyFill="1" applyBorder="1" applyAlignment="1">
      <alignment/>
    </xf>
    <xf numFmtId="0" fontId="0" fillId="0" borderId="51" xfId="0" applyNumberFormat="1" applyFont="1" applyFill="1" applyBorder="1" applyAlignment="1">
      <alignment horizontal="left"/>
    </xf>
    <xf numFmtId="174" fontId="0" fillId="34" borderId="52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 horizontal="left"/>
    </xf>
    <xf numFmtId="0" fontId="72" fillId="35" borderId="49" xfId="0" applyNumberFormat="1" applyFont="1" applyFill="1" applyBorder="1" applyAlignment="1">
      <alignment/>
    </xf>
    <xf numFmtId="0" fontId="0" fillId="0" borderId="53" xfId="0" applyNumberFormat="1" applyFont="1" applyFill="1" applyBorder="1" applyAlignment="1">
      <alignment horizontal="left"/>
    </xf>
    <xf numFmtId="0" fontId="72" fillId="0" borderId="54" xfId="0" applyNumberFormat="1" applyFont="1" applyFill="1" applyBorder="1" applyAlignment="1">
      <alignment horizontal="left"/>
    </xf>
    <xf numFmtId="174" fontId="0" fillId="34" borderId="55" xfId="0" applyNumberFormat="1" applyFont="1" applyFill="1" applyBorder="1" applyAlignment="1">
      <alignment/>
    </xf>
    <xf numFmtId="164" fontId="72" fillId="34" borderId="34" xfId="0" applyNumberFormat="1" applyFont="1" applyFill="1" applyBorder="1" applyAlignment="1">
      <alignment/>
    </xf>
    <xf numFmtId="174" fontId="72" fillId="39" borderId="35" xfId="0" applyNumberFormat="1" applyFont="1" applyFill="1" applyBorder="1" applyAlignment="1">
      <alignment/>
    </xf>
    <xf numFmtId="165" fontId="0" fillId="34" borderId="41" xfId="0" applyNumberFormat="1" applyFont="1" applyFill="1" applyBorder="1" applyAlignment="1">
      <alignment/>
    </xf>
    <xf numFmtId="0" fontId="72" fillId="34" borderId="40" xfId="0" applyFont="1" applyFill="1" applyBorder="1" applyAlignment="1">
      <alignment/>
    </xf>
    <xf numFmtId="0" fontId="72" fillId="33" borderId="46" xfId="0" applyFont="1" applyFill="1" applyBorder="1" applyAlignment="1">
      <alignment/>
    </xf>
    <xf numFmtId="165" fontId="72" fillId="34" borderId="47" xfId="0" applyNumberFormat="1" applyFont="1" applyFill="1" applyBorder="1" applyAlignment="1">
      <alignment/>
    </xf>
    <xf numFmtId="168" fontId="72" fillId="33" borderId="56" xfId="0" applyNumberFormat="1" applyFont="1" applyFill="1" applyBorder="1" applyAlignment="1">
      <alignment/>
    </xf>
    <xf numFmtId="165" fontId="72" fillId="34" borderId="57" xfId="0" applyNumberFormat="1" applyFont="1" applyFill="1" applyBorder="1" applyAlignment="1">
      <alignment/>
    </xf>
    <xf numFmtId="0" fontId="76" fillId="36" borderId="46" xfId="0" applyFont="1" applyFill="1" applyBorder="1" applyAlignment="1">
      <alignment vertical="top"/>
    </xf>
    <xf numFmtId="0" fontId="76" fillId="36" borderId="47" xfId="0" applyFont="1" applyFill="1" applyBorder="1" applyAlignment="1">
      <alignment vertical="top"/>
    </xf>
    <xf numFmtId="168" fontId="72" fillId="33" borderId="44" xfId="0" applyNumberFormat="1" applyFont="1" applyFill="1" applyBorder="1" applyAlignment="1">
      <alignment/>
    </xf>
    <xf numFmtId="165" fontId="72" fillId="34" borderId="45" xfId="0" applyNumberFormat="1" applyFont="1" applyFill="1" applyBorder="1" applyAlignment="1">
      <alignment horizontal="center"/>
    </xf>
    <xf numFmtId="165" fontId="72" fillId="34" borderId="45" xfId="0" applyNumberFormat="1" applyFont="1" applyFill="1" applyBorder="1" applyAlignment="1">
      <alignment/>
    </xf>
    <xf numFmtId="168" fontId="72" fillId="33" borderId="44" xfId="0" applyNumberFormat="1" applyFont="1" applyFill="1" applyBorder="1" applyAlignment="1">
      <alignment/>
    </xf>
    <xf numFmtId="174" fontId="72" fillId="34" borderId="45" xfId="0" applyNumberFormat="1" applyFont="1" applyFill="1" applyBorder="1" applyAlignment="1">
      <alignment/>
    </xf>
    <xf numFmtId="168" fontId="0" fillId="33" borderId="44" xfId="0" applyNumberFormat="1" applyFont="1" applyFill="1" applyBorder="1" applyAlignment="1">
      <alignment horizontal="left"/>
    </xf>
    <xf numFmtId="174" fontId="0" fillId="34" borderId="45" xfId="0" applyNumberFormat="1" applyFont="1" applyFill="1" applyBorder="1" applyAlignment="1">
      <alignment/>
    </xf>
    <xf numFmtId="168" fontId="0" fillId="33" borderId="44" xfId="0" applyNumberFormat="1" applyFont="1" applyFill="1" applyBorder="1" applyAlignment="1">
      <alignment horizontal="left"/>
    </xf>
    <xf numFmtId="0" fontId="72" fillId="33" borderId="44" xfId="0" applyFont="1" applyFill="1" applyBorder="1" applyAlignment="1">
      <alignment/>
    </xf>
    <xf numFmtId="0" fontId="72" fillId="33" borderId="34" xfId="0" applyFont="1" applyFill="1" applyBorder="1" applyAlignment="1">
      <alignment/>
    </xf>
    <xf numFmtId="174" fontId="0" fillId="34" borderId="35" xfId="0" applyNumberFormat="1" applyFont="1" applyFill="1" applyBorder="1" applyAlignment="1">
      <alignment/>
    </xf>
    <xf numFmtId="10" fontId="69" fillId="34" borderId="43" xfId="0" applyNumberFormat="1" applyFont="1" applyFill="1" applyBorder="1" applyAlignment="1">
      <alignment/>
    </xf>
    <xf numFmtId="0" fontId="72" fillId="33" borderId="44" xfId="0" applyFont="1" applyFill="1" applyBorder="1" applyAlignment="1">
      <alignment/>
    </xf>
    <xf numFmtId="0" fontId="69" fillId="33" borderId="44" xfId="0" applyFont="1" applyFill="1" applyBorder="1" applyAlignment="1">
      <alignment/>
    </xf>
    <xf numFmtId="10" fontId="69" fillId="34" borderId="45" xfId="0" applyNumberFormat="1" applyFont="1" applyFill="1" applyBorder="1" applyAlignment="1">
      <alignment/>
    </xf>
    <xf numFmtId="0" fontId="69" fillId="33" borderId="44" xfId="0" applyFont="1" applyFill="1" applyBorder="1" applyAlignment="1">
      <alignment/>
    </xf>
    <xf numFmtId="0" fontId="69" fillId="33" borderId="34" xfId="0" applyFont="1" applyFill="1" applyBorder="1" applyAlignment="1">
      <alignment/>
    </xf>
    <xf numFmtId="0" fontId="70" fillId="33" borderId="42" xfId="0" applyFont="1" applyFill="1" applyBorder="1" applyAlignment="1">
      <alignment/>
    </xf>
    <xf numFmtId="10" fontId="70" fillId="34" borderId="43" xfId="0" applyNumberFormat="1" applyFont="1" applyFill="1" applyBorder="1" applyAlignment="1">
      <alignment/>
    </xf>
    <xf numFmtId="0" fontId="70" fillId="33" borderId="44" xfId="0" applyFont="1" applyFill="1" applyBorder="1" applyAlignment="1">
      <alignment/>
    </xf>
    <xf numFmtId="0" fontId="81" fillId="33" borderId="44" xfId="0" applyFont="1" applyFill="1" applyBorder="1" applyAlignment="1">
      <alignment/>
    </xf>
    <xf numFmtId="3" fontId="78" fillId="34" borderId="45" xfId="0" applyNumberFormat="1" applyFont="1" applyFill="1" applyBorder="1" applyAlignment="1">
      <alignment horizontal="center"/>
    </xf>
    <xf numFmtId="174" fontId="78" fillId="34" borderId="45" xfId="0" applyNumberFormat="1" applyFont="1" applyFill="1" applyBorder="1" applyAlignment="1">
      <alignment horizontal="center"/>
    </xf>
    <xf numFmtId="3" fontId="78" fillId="34" borderId="45" xfId="0" applyNumberFormat="1" applyFont="1" applyFill="1" applyBorder="1" applyAlignment="1">
      <alignment/>
    </xf>
    <xf numFmtId="166" fontId="78" fillId="34" borderId="45" xfId="0" applyNumberFormat="1" applyFont="1" applyFill="1" applyBorder="1" applyAlignment="1">
      <alignment/>
    </xf>
    <xf numFmtId="0" fontId="72" fillId="33" borderId="58" xfId="0" applyFont="1" applyFill="1" applyBorder="1" applyAlignment="1">
      <alignment/>
    </xf>
    <xf numFmtId="166" fontId="78" fillId="34" borderId="59" xfId="0" applyNumberFormat="1" applyFont="1" applyFill="1" applyBorder="1" applyAlignment="1">
      <alignment/>
    </xf>
    <xf numFmtId="0" fontId="78" fillId="33" borderId="58" xfId="0" applyFont="1" applyFill="1" applyBorder="1" applyAlignment="1">
      <alignment/>
    </xf>
    <xf numFmtId="3" fontId="78" fillId="33" borderId="23" xfId="0" applyNumberFormat="1" applyFont="1" applyFill="1" applyBorder="1" applyAlignment="1">
      <alignment/>
    </xf>
    <xf numFmtId="3" fontId="78" fillId="34" borderId="59" xfId="0" applyNumberFormat="1" applyFont="1" applyFill="1" applyBorder="1" applyAlignment="1">
      <alignment/>
    </xf>
    <xf numFmtId="0" fontId="0" fillId="35" borderId="28" xfId="0" applyFont="1" applyFill="1" applyBorder="1" applyAlignment="1">
      <alignment horizontal="left"/>
    </xf>
    <xf numFmtId="0" fontId="96" fillId="35" borderId="28" xfId="0" applyFont="1" applyFill="1" applyBorder="1" applyAlignment="1">
      <alignment horizontal="left"/>
    </xf>
    <xf numFmtId="173" fontId="73" fillId="2" borderId="28" xfId="0" applyNumberFormat="1" applyFont="1" applyFill="1" applyBorder="1" applyAlignment="1" applyProtection="1">
      <alignment horizontal="left"/>
      <protection locked="0"/>
    </xf>
    <xf numFmtId="0" fontId="99" fillId="40" borderId="28" xfId="0" applyFont="1" applyFill="1" applyBorder="1" applyAlignment="1">
      <alignment horizontal="left"/>
    </xf>
    <xf numFmtId="0" fontId="96" fillId="35" borderId="60" xfId="0" applyFont="1" applyFill="1" applyBorder="1" applyAlignment="1">
      <alignment horizontal="left"/>
    </xf>
    <xf numFmtId="0" fontId="96" fillId="35" borderId="61" xfId="0" applyFont="1" applyFill="1" applyBorder="1" applyAlignment="1">
      <alignment horizontal="left"/>
    </xf>
    <xf numFmtId="170" fontId="72" fillId="33" borderId="13" xfId="0" applyNumberFormat="1" applyFont="1" applyFill="1" applyBorder="1" applyAlignment="1">
      <alignment horizontal="center" vertical="center"/>
    </xf>
    <xf numFmtId="170" fontId="72" fillId="33" borderId="10" xfId="0" applyNumberFormat="1" applyFont="1" applyFill="1" applyBorder="1" applyAlignment="1">
      <alignment horizontal="center" vertical="center"/>
    </xf>
    <xf numFmtId="0" fontId="77" fillId="36" borderId="21" xfId="0" applyFont="1" applyFill="1" applyBorder="1" applyAlignment="1">
      <alignment horizontal="left" vertical="center"/>
    </xf>
    <xf numFmtId="0" fontId="100" fillId="38" borderId="0" xfId="0" applyFont="1" applyFill="1" applyBorder="1" applyAlignment="1">
      <alignment horizontal="center" vertical="top"/>
    </xf>
    <xf numFmtId="0" fontId="72" fillId="34" borderId="13" xfId="0" applyFont="1" applyFill="1" applyBorder="1" applyAlignment="1">
      <alignment horizontal="center" vertical="center"/>
    </xf>
    <xf numFmtId="0" fontId="72" fillId="34" borderId="10" xfId="0" applyFont="1" applyFill="1" applyBorder="1" applyAlignment="1">
      <alignment horizontal="center" vertical="center"/>
    </xf>
    <xf numFmtId="0" fontId="63" fillId="38" borderId="0" xfId="50" applyFill="1" applyBorder="1" applyAlignment="1">
      <alignment horizontal="left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101</xdr:row>
      <xdr:rowOff>28575</xdr:rowOff>
    </xdr:from>
    <xdr:to>
      <xdr:col>2</xdr:col>
      <xdr:colOff>38100</xdr:colOff>
      <xdr:row>104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5773400"/>
          <a:ext cx="1333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nkventuring.es" TargetMode="Externa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9"/>
  <sheetViews>
    <sheetView tabSelected="1" workbookViewId="0" topLeftCell="A1">
      <selection activeCell="D5" sqref="D5"/>
    </sheetView>
  </sheetViews>
  <sheetFormatPr defaultColWidth="9.140625" defaultRowHeight="12" customHeight="1"/>
  <cols>
    <col min="1" max="1" width="0.71875" style="0" customWidth="1"/>
    <col min="2" max="2" width="22.28125" style="0" customWidth="1"/>
    <col min="3" max="3" width="13.8515625" style="19" customWidth="1"/>
    <col min="4" max="4" width="11.421875" style="0" customWidth="1"/>
    <col min="5" max="5" width="0.9921875" style="0" customWidth="1"/>
    <col min="6" max="6" width="1.7109375" style="0" customWidth="1"/>
    <col min="7" max="7" width="41.28125" style="0" customWidth="1"/>
    <col min="8" max="8" width="9.7109375" style="0" bestFit="1" customWidth="1"/>
    <col min="9" max="19" width="8.28125" style="0" bestFit="1" customWidth="1"/>
    <col min="20" max="20" width="9.28125" style="0" bestFit="1" customWidth="1"/>
  </cols>
  <sheetData>
    <row r="1" spans="1:22" s="68" customFormat="1" ht="33" customHeight="1">
      <c r="A1" s="70"/>
      <c r="B1" s="341" t="s">
        <v>92</v>
      </c>
      <c r="C1" s="341"/>
      <c r="D1" s="341"/>
      <c r="E1" s="69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1"/>
      <c r="V1" s="71"/>
    </row>
    <row r="2" spans="1:22" s="30" customFormat="1" ht="12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15">
      <c r="A3" s="127"/>
      <c r="B3" s="342" t="s">
        <v>7</v>
      </c>
      <c r="C3" s="342"/>
      <c r="D3" s="342"/>
      <c r="E3" s="128"/>
      <c r="F3" s="92"/>
      <c r="G3" s="2"/>
      <c r="H3" s="339">
        <f>DATE($D$5,1,1)</f>
        <v>43831</v>
      </c>
      <c r="I3" s="339">
        <f>DATE($D$5,2,1)</f>
        <v>43862</v>
      </c>
      <c r="J3" s="339">
        <f>DATE($D$5,3,1)</f>
        <v>43891</v>
      </c>
      <c r="K3" s="339">
        <f>DATE($D$5,4,1)</f>
        <v>43922</v>
      </c>
      <c r="L3" s="339">
        <f>DATE($D$5,5,1)</f>
        <v>43952</v>
      </c>
      <c r="M3" s="339">
        <f>DATE($D$5,6,1)</f>
        <v>43983</v>
      </c>
      <c r="N3" s="339">
        <f>DATE($D$5,7,1)</f>
        <v>44013</v>
      </c>
      <c r="O3" s="339">
        <f>DATE($D$5,8,1)</f>
        <v>44044</v>
      </c>
      <c r="P3" s="339">
        <f>DATE($D$5,9,1)</f>
        <v>44075</v>
      </c>
      <c r="Q3" s="339">
        <f>DATE($D$5,10,1)</f>
        <v>44105</v>
      </c>
      <c r="R3" s="339">
        <f>DATE($D$5,11,1)</f>
        <v>44136</v>
      </c>
      <c r="S3" s="339">
        <f>DATE($D$5,12,1)</f>
        <v>44166</v>
      </c>
      <c r="T3" s="343" t="str">
        <f>CONCATENATE("Total ",D5)</f>
        <v>Total 2020</v>
      </c>
      <c r="U3" s="72"/>
      <c r="V3" s="56"/>
    </row>
    <row r="4" spans="1:22" ht="12.75" customHeight="1">
      <c r="A4" s="129"/>
      <c r="B4" s="130"/>
      <c r="C4" s="130"/>
      <c r="D4" s="131"/>
      <c r="E4" s="128"/>
      <c r="F4" s="92"/>
      <c r="G4" s="4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4"/>
      <c r="U4" s="72"/>
      <c r="V4" s="56"/>
    </row>
    <row r="5" spans="1:22" ht="12.75">
      <c r="A5" s="132"/>
      <c r="B5" s="333" t="s">
        <v>4</v>
      </c>
      <c r="C5" s="333"/>
      <c r="D5" s="184">
        <v>2020</v>
      </c>
      <c r="E5" s="128"/>
      <c r="F5" s="99"/>
      <c r="G5" s="236" t="s">
        <v>28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8"/>
      <c r="U5" s="73"/>
      <c r="V5" s="74"/>
    </row>
    <row r="6" spans="1:22" ht="12">
      <c r="A6" s="133"/>
      <c r="B6" s="147"/>
      <c r="C6" s="147"/>
      <c r="D6" s="150"/>
      <c r="E6" s="151"/>
      <c r="F6" s="100"/>
      <c r="G6" s="239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40"/>
      <c r="U6" s="72"/>
      <c r="V6" s="56"/>
    </row>
    <row r="7" spans="1:22" ht="12">
      <c r="A7" s="134"/>
      <c r="B7" s="187" t="s">
        <v>93</v>
      </c>
      <c r="C7" s="188"/>
      <c r="D7" s="189"/>
      <c r="E7" s="149"/>
      <c r="F7" s="101"/>
      <c r="G7" s="241" t="s">
        <v>29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242"/>
      <c r="U7" s="72"/>
      <c r="V7" s="56"/>
    </row>
    <row r="8" spans="1:22" ht="12">
      <c r="A8" s="185"/>
      <c r="B8" s="334" t="s">
        <v>60</v>
      </c>
      <c r="C8" s="334"/>
      <c r="D8" s="190">
        <v>23</v>
      </c>
      <c r="E8" s="186"/>
      <c r="F8" s="102"/>
      <c r="G8" s="243" t="s">
        <v>30</v>
      </c>
      <c r="H8" s="24">
        <f>D8</f>
        <v>23</v>
      </c>
      <c r="I8" s="24">
        <f aca="true" t="shared" si="0" ref="I8:S8">H17</f>
        <v>173</v>
      </c>
      <c r="J8" s="24">
        <f t="shared" si="0"/>
        <v>344</v>
      </c>
      <c r="K8" s="24">
        <f t="shared" si="0"/>
        <v>538</v>
      </c>
      <c r="L8" s="24">
        <f t="shared" si="0"/>
        <v>757</v>
      </c>
      <c r="M8" s="24">
        <f t="shared" si="0"/>
        <v>1005</v>
      </c>
      <c r="N8" s="24">
        <f t="shared" si="0"/>
        <v>1285</v>
      </c>
      <c r="O8" s="24">
        <f t="shared" si="0"/>
        <v>1602</v>
      </c>
      <c r="P8" s="24">
        <f t="shared" si="0"/>
        <v>1961</v>
      </c>
      <c r="Q8" s="24">
        <f t="shared" si="0"/>
        <v>2366</v>
      </c>
      <c r="R8" s="24">
        <f t="shared" si="0"/>
        <v>2824</v>
      </c>
      <c r="S8" s="24">
        <f t="shared" si="0"/>
        <v>3342</v>
      </c>
      <c r="T8" s="244">
        <f>H8</f>
        <v>23</v>
      </c>
      <c r="U8" s="75"/>
      <c r="V8" s="54"/>
    </row>
    <row r="9" spans="1:22" ht="12">
      <c r="A9" s="135"/>
      <c r="B9" s="193"/>
      <c r="C9" s="193"/>
      <c r="D9" s="194"/>
      <c r="E9" s="151"/>
      <c r="F9" s="103"/>
      <c r="G9" s="245" t="s">
        <v>85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4"/>
      <c r="U9" s="75"/>
      <c r="V9" s="54"/>
    </row>
    <row r="10" spans="1:22" ht="12">
      <c r="A10" s="191"/>
      <c r="B10" s="334" t="s">
        <v>64</v>
      </c>
      <c r="C10" s="334"/>
      <c r="D10" s="190">
        <v>100</v>
      </c>
      <c r="E10" s="192"/>
      <c r="F10" s="104"/>
      <c r="G10" s="246" t="str">
        <f>B11</f>
        <v>Crecimiento Registros Origen no identificado p.m.</v>
      </c>
      <c r="H10" s="25"/>
      <c r="I10" s="26">
        <f aca="true" t="shared" si="1" ref="I10:S10">$D$11</f>
        <v>0.15</v>
      </c>
      <c r="J10" s="26">
        <f t="shared" si="1"/>
        <v>0.15</v>
      </c>
      <c r="K10" s="26">
        <f t="shared" si="1"/>
        <v>0.15</v>
      </c>
      <c r="L10" s="26">
        <f t="shared" si="1"/>
        <v>0.15</v>
      </c>
      <c r="M10" s="26">
        <f t="shared" si="1"/>
        <v>0.15</v>
      </c>
      <c r="N10" s="26">
        <f t="shared" si="1"/>
        <v>0.15</v>
      </c>
      <c r="O10" s="26">
        <f t="shared" si="1"/>
        <v>0.15</v>
      </c>
      <c r="P10" s="26">
        <f t="shared" si="1"/>
        <v>0.15</v>
      </c>
      <c r="Q10" s="26">
        <f t="shared" si="1"/>
        <v>0.15</v>
      </c>
      <c r="R10" s="26">
        <f t="shared" si="1"/>
        <v>0.15</v>
      </c>
      <c r="S10" s="26">
        <f t="shared" si="1"/>
        <v>0.15</v>
      </c>
      <c r="T10" s="247"/>
      <c r="U10" s="76"/>
      <c r="V10" s="77"/>
    </row>
    <row r="11" spans="1:22" ht="12">
      <c r="A11" s="185"/>
      <c r="B11" s="334" t="s">
        <v>61</v>
      </c>
      <c r="C11" s="334"/>
      <c r="D11" s="195">
        <v>0.15</v>
      </c>
      <c r="E11" s="186"/>
      <c r="F11" s="102"/>
      <c r="G11" s="248" t="s">
        <v>62</v>
      </c>
      <c r="H11" s="24">
        <f>$D$10</f>
        <v>100</v>
      </c>
      <c r="I11" s="24">
        <f>ROUNDUP(H11*(1+I10),0)</f>
        <v>115</v>
      </c>
      <c r="J11" s="24">
        <f aca="true" t="shared" si="2" ref="J11:S11">ROUNDUP(I11*(1+J10),0)</f>
        <v>133</v>
      </c>
      <c r="K11" s="24">
        <f t="shared" si="2"/>
        <v>153</v>
      </c>
      <c r="L11" s="24">
        <f t="shared" si="2"/>
        <v>176</v>
      </c>
      <c r="M11" s="24">
        <f t="shared" si="2"/>
        <v>203</v>
      </c>
      <c r="N11" s="24">
        <f t="shared" si="2"/>
        <v>234</v>
      </c>
      <c r="O11" s="24">
        <f t="shared" si="2"/>
        <v>270</v>
      </c>
      <c r="P11" s="24">
        <f t="shared" si="2"/>
        <v>311</v>
      </c>
      <c r="Q11" s="24">
        <f t="shared" si="2"/>
        <v>358</v>
      </c>
      <c r="R11" s="24">
        <f t="shared" si="2"/>
        <v>412</v>
      </c>
      <c r="S11" s="24">
        <f t="shared" si="2"/>
        <v>474</v>
      </c>
      <c r="T11" s="244">
        <f>SUM(H11:S11)</f>
        <v>2939</v>
      </c>
      <c r="U11" s="75"/>
      <c r="V11" s="54"/>
    </row>
    <row r="12" spans="1:22" ht="12">
      <c r="A12" s="135"/>
      <c r="B12" s="152"/>
      <c r="C12" s="152"/>
      <c r="D12" s="148"/>
      <c r="E12" s="167"/>
      <c r="F12" s="105"/>
      <c r="G12" s="245" t="s">
        <v>86</v>
      </c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4"/>
      <c r="U12" s="75"/>
      <c r="V12" s="54"/>
    </row>
    <row r="13" spans="1:22" ht="12">
      <c r="A13" s="133"/>
      <c r="B13" s="147"/>
      <c r="C13" s="147"/>
      <c r="D13" s="150"/>
      <c r="E13" s="167"/>
      <c r="F13" s="105"/>
      <c r="G13" s="249" t="s">
        <v>63</v>
      </c>
      <c r="H13" s="22">
        <f aca="true" t="shared" si="3" ref="H13:S13">H66</f>
        <v>-5000</v>
      </c>
      <c r="I13" s="22">
        <f t="shared" si="3"/>
        <v>-5500</v>
      </c>
      <c r="J13" s="22">
        <f t="shared" si="3"/>
        <v>-6000</v>
      </c>
      <c r="K13" s="22">
        <f t="shared" si="3"/>
        <v>-6500</v>
      </c>
      <c r="L13" s="22">
        <f t="shared" si="3"/>
        <v>-7000</v>
      </c>
      <c r="M13" s="22">
        <f t="shared" si="3"/>
        <v>-7500</v>
      </c>
      <c r="N13" s="22">
        <f t="shared" si="3"/>
        <v>-8000</v>
      </c>
      <c r="O13" s="22">
        <f t="shared" si="3"/>
        <v>-8500</v>
      </c>
      <c r="P13" s="22">
        <f t="shared" si="3"/>
        <v>-9000</v>
      </c>
      <c r="Q13" s="22">
        <f t="shared" si="3"/>
        <v>-9500</v>
      </c>
      <c r="R13" s="22">
        <f t="shared" si="3"/>
        <v>-10000</v>
      </c>
      <c r="S13" s="22">
        <f t="shared" si="3"/>
        <v>-10500</v>
      </c>
      <c r="T13" s="250">
        <f>SUM(H13:S13)</f>
        <v>-93000</v>
      </c>
      <c r="U13" s="75"/>
      <c r="V13" s="54"/>
    </row>
    <row r="14" spans="1:22" ht="12">
      <c r="A14" s="196"/>
      <c r="B14" s="334" t="s">
        <v>87</v>
      </c>
      <c r="C14" s="334"/>
      <c r="D14" s="201">
        <v>100</v>
      </c>
      <c r="E14" s="197"/>
      <c r="F14" s="103"/>
      <c r="G14" s="249" t="s">
        <v>77</v>
      </c>
      <c r="H14" s="46">
        <f>-$D$14</f>
        <v>-100</v>
      </c>
      <c r="I14" s="46">
        <f>H14+$D$15</f>
        <v>-99.5</v>
      </c>
      <c r="J14" s="46">
        <f aca="true" t="shared" si="4" ref="J14:S14">I14+$D$15</f>
        <v>-99</v>
      </c>
      <c r="K14" s="46">
        <f t="shared" si="4"/>
        <v>-98.5</v>
      </c>
      <c r="L14" s="46">
        <f t="shared" si="4"/>
        <v>-98</v>
      </c>
      <c r="M14" s="46">
        <f t="shared" si="4"/>
        <v>-97.5</v>
      </c>
      <c r="N14" s="46">
        <f t="shared" si="4"/>
        <v>-97</v>
      </c>
      <c r="O14" s="46">
        <f t="shared" si="4"/>
        <v>-96.5</v>
      </c>
      <c r="P14" s="46">
        <f t="shared" si="4"/>
        <v>-96</v>
      </c>
      <c r="Q14" s="46">
        <f t="shared" si="4"/>
        <v>-95.5</v>
      </c>
      <c r="R14" s="46">
        <f t="shared" si="4"/>
        <v>-95</v>
      </c>
      <c r="S14" s="46">
        <f t="shared" si="4"/>
        <v>-94.5</v>
      </c>
      <c r="T14" s="251">
        <f>T13/T15</f>
        <v>-96.27329192546584</v>
      </c>
      <c r="U14" s="78"/>
      <c r="V14" s="79"/>
    </row>
    <row r="15" spans="1:22" ht="12">
      <c r="A15" s="196"/>
      <c r="B15" s="334" t="s">
        <v>65</v>
      </c>
      <c r="C15" s="334"/>
      <c r="D15" s="201">
        <v>0.5</v>
      </c>
      <c r="E15" s="198"/>
      <c r="F15" s="103"/>
      <c r="G15" s="248" t="s">
        <v>66</v>
      </c>
      <c r="H15" s="24">
        <f>ROUNDUP(H13/H14,0)</f>
        <v>50</v>
      </c>
      <c r="I15" s="24">
        <f aca="true" t="shared" si="5" ref="I15:S15">ROUNDUP(I13/I14,0)</f>
        <v>56</v>
      </c>
      <c r="J15" s="24">
        <f t="shared" si="5"/>
        <v>61</v>
      </c>
      <c r="K15" s="24">
        <f t="shared" si="5"/>
        <v>66</v>
      </c>
      <c r="L15" s="24">
        <f t="shared" si="5"/>
        <v>72</v>
      </c>
      <c r="M15" s="24">
        <f t="shared" si="5"/>
        <v>77</v>
      </c>
      <c r="N15" s="24">
        <f t="shared" si="5"/>
        <v>83</v>
      </c>
      <c r="O15" s="24">
        <f t="shared" si="5"/>
        <v>89</v>
      </c>
      <c r="P15" s="24">
        <f t="shared" si="5"/>
        <v>94</v>
      </c>
      <c r="Q15" s="24">
        <f t="shared" si="5"/>
        <v>100</v>
      </c>
      <c r="R15" s="24">
        <f t="shared" si="5"/>
        <v>106</v>
      </c>
      <c r="S15" s="24">
        <f t="shared" si="5"/>
        <v>112</v>
      </c>
      <c r="T15" s="244">
        <f>SUM(H15:S15)</f>
        <v>966</v>
      </c>
      <c r="U15" s="75"/>
      <c r="V15" s="54"/>
    </row>
    <row r="16" spans="1:22" ht="12">
      <c r="A16" s="136"/>
      <c r="B16" s="199"/>
      <c r="C16" s="199"/>
      <c r="D16" s="200"/>
      <c r="E16" s="149"/>
      <c r="F16" s="106"/>
      <c r="G16" s="252" t="s">
        <v>67</v>
      </c>
      <c r="H16" s="27">
        <f aca="true" t="shared" si="6" ref="H16:S16">H11+H15</f>
        <v>150</v>
      </c>
      <c r="I16" s="27">
        <f t="shared" si="6"/>
        <v>171</v>
      </c>
      <c r="J16" s="27">
        <f t="shared" si="6"/>
        <v>194</v>
      </c>
      <c r="K16" s="27">
        <f t="shared" si="6"/>
        <v>219</v>
      </c>
      <c r="L16" s="27">
        <f t="shared" si="6"/>
        <v>248</v>
      </c>
      <c r="M16" s="27">
        <f t="shared" si="6"/>
        <v>280</v>
      </c>
      <c r="N16" s="27">
        <f t="shared" si="6"/>
        <v>317</v>
      </c>
      <c r="O16" s="27">
        <f t="shared" si="6"/>
        <v>359</v>
      </c>
      <c r="P16" s="27">
        <f t="shared" si="6"/>
        <v>405</v>
      </c>
      <c r="Q16" s="27">
        <f t="shared" si="6"/>
        <v>458</v>
      </c>
      <c r="R16" s="27">
        <f t="shared" si="6"/>
        <v>518</v>
      </c>
      <c r="S16" s="27">
        <f t="shared" si="6"/>
        <v>586</v>
      </c>
      <c r="T16" s="253">
        <f>SUM(H16:S16)</f>
        <v>3905</v>
      </c>
      <c r="U16" s="80"/>
      <c r="V16" s="81"/>
    </row>
    <row r="17" spans="1:22" ht="12">
      <c r="A17" s="134"/>
      <c r="B17" s="152"/>
      <c r="C17" s="152"/>
      <c r="D17" s="148"/>
      <c r="E17" s="149"/>
      <c r="F17" s="101"/>
      <c r="G17" s="254" t="s">
        <v>68</v>
      </c>
      <c r="H17" s="23">
        <f aca="true" t="shared" si="7" ref="H17:S17">H8+H16</f>
        <v>173</v>
      </c>
      <c r="I17" s="23">
        <f t="shared" si="7"/>
        <v>344</v>
      </c>
      <c r="J17" s="23">
        <f t="shared" si="7"/>
        <v>538</v>
      </c>
      <c r="K17" s="23">
        <f t="shared" si="7"/>
        <v>757</v>
      </c>
      <c r="L17" s="23">
        <f t="shared" si="7"/>
        <v>1005</v>
      </c>
      <c r="M17" s="23">
        <f t="shared" si="7"/>
        <v>1285</v>
      </c>
      <c r="N17" s="23">
        <f t="shared" si="7"/>
        <v>1602</v>
      </c>
      <c r="O17" s="23">
        <f t="shared" si="7"/>
        <v>1961</v>
      </c>
      <c r="P17" s="23">
        <f t="shared" si="7"/>
        <v>2366</v>
      </c>
      <c r="Q17" s="23">
        <f t="shared" si="7"/>
        <v>2824</v>
      </c>
      <c r="R17" s="23">
        <f t="shared" si="7"/>
        <v>3342</v>
      </c>
      <c r="S17" s="23">
        <f t="shared" si="7"/>
        <v>3928</v>
      </c>
      <c r="T17" s="255">
        <f>S17</f>
        <v>3928</v>
      </c>
      <c r="U17" s="80"/>
      <c r="V17" s="81"/>
    </row>
    <row r="18" spans="1:22" ht="12">
      <c r="A18" s="133"/>
      <c r="B18" s="147"/>
      <c r="C18" s="147"/>
      <c r="D18" s="150"/>
      <c r="E18" s="151"/>
      <c r="F18" s="100"/>
      <c r="G18" s="256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257"/>
      <c r="U18" s="75"/>
      <c r="V18" s="54"/>
    </row>
    <row r="19" spans="1:22" ht="12">
      <c r="A19" s="136"/>
      <c r="B19" s="188"/>
      <c r="C19" s="188"/>
      <c r="D19" s="189"/>
      <c r="E19" s="149"/>
      <c r="F19" s="106"/>
      <c r="G19" s="241" t="s">
        <v>42</v>
      </c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242"/>
      <c r="U19" s="75"/>
      <c r="V19" s="54"/>
    </row>
    <row r="20" spans="1:22" ht="12">
      <c r="A20" s="196"/>
      <c r="B20" s="334" t="s">
        <v>43</v>
      </c>
      <c r="C20" s="334"/>
      <c r="D20" s="190">
        <v>3</v>
      </c>
      <c r="E20" s="186"/>
      <c r="F20" s="103"/>
      <c r="G20" s="248" t="s">
        <v>44</v>
      </c>
      <c r="H20" s="24">
        <f>$D$20</f>
        <v>3</v>
      </c>
      <c r="I20" s="24">
        <f aca="true" t="shared" si="8" ref="I20:S20">H24</f>
        <v>3</v>
      </c>
      <c r="J20" s="24">
        <f t="shared" si="8"/>
        <v>34</v>
      </c>
      <c r="K20" s="24">
        <f t="shared" si="8"/>
        <v>68</v>
      </c>
      <c r="L20" s="24">
        <f t="shared" si="8"/>
        <v>107</v>
      </c>
      <c r="M20" s="24">
        <f t="shared" si="8"/>
        <v>150</v>
      </c>
      <c r="N20" s="24">
        <f t="shared" si="8"/>
        <v>199</v>
      </c>
      <c r="O20" s="24">
        <f t="shared" si="8"/>
        <v>253</v>
      </c>
      <c r="P20" s="24">
        <f t="shared" si="8"/>
        <v>314</v>
      </c>
      <c r="Q20" s="24">
        <f t="shared" si="8"/>
        <v>383</v>
      </c>
      <c r="R20" s="24">
        <f t="shared" si="8"/>
        <v>460</v>
      </c>
      <c r="S20" s="24">
        <f t="shared" si="8"/>
        <v>547</v>
      </c>
      <c r="T20" s="244">
        <f>H20</f>
        <v>3</v>
      </c>
      <c r="U20" s="75"/>
      <c r="V20" s="54"/>
    </row>
    <row r="21" spans="1:22" ht="12">
      <c r="A21" s="202"/>
      <c r="B21" s="334" t="s">
        <v>73</v>
      </c>
      <c r="C21" s="334"/>
      <c r="D21" s="195">
        <v>0.2</v>
      </c>
      <c r="E21" s="192"/>
      <c r="F21" s="107"/>
      <c r="G21" s="246" t="s">
        <v>69</v>
      </c>
      <c r="H21" s="62">
        <f>$D$21</f>
        <v>0.2</v>
      </c>
      <c r="I21" s="62">
        <f aca="true" t="shared" si="9" ref="I21:S21">H21+$D$22</f>
        <v>0.2005</v>
      </c>
      <c r="J21" s="62">
        <f t="shared" si="9"/>
        <v>0.201</v>
      </c>
      <c r="K21" s="62">
        <f t="shared" si="9"/>
        <v>0.2015</v>
      </c>
      <c r="L21" s="62">
        <f t="shared" si="9"/>
        <v>0.202</v>
      </c>
      <c r="M21" s="62">
        <f t="shared" si="9"/>
        <v>0.2025</v>
      </c>
      <c r="N21" s="62">
        <f t="shared" si="9"/>
        <v>0.203</v>
      </c>
      <c r="O21" s="62">
        <f t="shared" si="9"/>
        <v>0.20350000000000001</v>
      </c>
      <c r="P21" s="62">
        <f t="shared" si="9"/>
        <v>0.20400000000000001</v>
      </c>
      <c r="Q21" s="62">
        <f t="shared" si="9"/>
        <v>0.20450000000000002</v>
      </c>
      <c r="R21" s="62">
        <f t="shared" si="9"/>
        <v>0.20500000000000002</v>
      </c>
      <c r="S21" s="62">
        <f t="shared" si="9"/>
        <v>0.20550000000000002</v>
      </c>
      <c r="T21" s="258"/>
      <c r="U21" s="76"/>
      <c r="V21" s="77"/>
    </row>
    <row r="22" spans="1:22" ht="12">
      <c r="A22" s="203"/>
      <c r="B22" s="334" t="s">
        <v>74</v>
      </c>
      <c r="C22" s="334"/>
      <c r="D22" s="195">
        <v>0.0005</v>
      </c>
      <c r="E22" s="192"/>
      <c r="F22" s="106"/>
      <c r="G22" s="252" t="s">
        <v>70</v>
      </c>
      <c r="H22" s="28"/>
      <c r="I22" s="28">
        <f>ROUNDUP(H16*I21,0)</f>
        <v>31</v>
      </c>
      <c r="J22" s="28">
        <f aca="true" t="shared" si="10" ref="J22:S22">ROUNDUP(I16*J21,0)</f>
        <v>35</v>
      </c>
      <c r="K22" s="28">
        <f t="shared" si="10"/>
        <v>40</v>
      </c>
      <c r="L22" s="28">
        <f t="shared" si="10"/>
        <v>45</v>
      </c>
      <c r="M22" s="28">
        <f t="shared" si="10"/>
        <v>51</v>
      </c>
      <c r="N22" s="28">
        <f t="shared" si="10"/>
        <v>57</v>
      </c>
      <c r="O22" s="28">
        <f t="shared" si="10"/>
        <v>65</v>
      </c>
      <c r="P22" s="28">
        <f t="shared" si="10"/>
        <v>74</v>
      </c>
      <c r="Q22" s="28">
        <f t="shared" si="10"/>
        <v>83</v>
      </c>
      <c r="R22" s="28">
        <f t="shared" si="10"/>
        <v>94</v>
      </c>
      <c r="S22" s="28">
        <f t="shared" si="10"/>
        <v>107</v>
      </c>
      <c r="T22" s="259">
        <f>SUM(H22:S22)</f>
        <v>682</v>
      </c>
      <c r="U22" s="80"/>
      <c r="V22" s="81"/>
    </row>
    <row r="23" spans="1:22" ht="12">
      <c r="A23" s="196"/>
      <c r="B23" s="334" t="s">
        <v>72</v>
      </c>
      <c r="C23" s="334"/>
      <c r="D23" s="195">
        <v>0.015</v>
      </c>
      <c r="E23" s="192"/>
      <c r="F23" s="103"/>
      <c r="G23" s="248" t="s">
        <v>71</v>
      </c>
      <c r="H23" s="29">
        <f>ROUND(H20*$D$23,0)</f>
        <v>0</v>
      </c>
      <c r="I23" s="29">
        <f aca="true" t="shared" si="11" ref="I23:S23">ROUND(I20*$D$23,0)</f>
        <v>0</v>
      </c>
      <c r="J23" s="29">
        <f t="shared" si="11"/>
        <v>1</v>
      </c>
      <c r="K23" s="29">
        <f t="shared" si="11"/>
        <v>1</v>
      </c>
      <c r="L23" s="29">
        <f t="shared" si="11"/>
        <v>2</v>
      </c>
      <c r="M23" s="29">
        <f t="shared" si="11"/>
        <v>2</v>
      </c>
      <c r="N23" s="29">
        <f t="shared" si="11"/>
        <v>3</v>
      </c>
      <c r="O23" s="29">
        <f t="shared" si="11"/>
        <v>4</v>
      </c>
      <c r="P23" s="29">
        <f t="shared" si="11"/>
        <v>5</v>
      </c>
      <c r="Q23" s="29">
        <f t="shared" si="11"/>
        <v>6</v>
      </c>
      <c r="R23" s="29">
        <f t="shared" si="11"/>
        <v>7</v>
      </c>
      <c r="S23" s="29">
        <f t="shared" si="11"/>
        <v>8</v>
      </c>
      <c r="T23" s="260">
        <f>SUM(H23:S23)</f>
        <v>39</v>
      </c>
      <c r="U23" s="72"/>
      <c r="V23" s="56"/>
    </row>
    <row r="24" spans="1:22" ht="12">
      <c r="A24" s="136"/>
      <c r="B24" s="171"/>
      <c r="C24" s="171"/>
      <c r="D24" s="172"/>
      <c r="E24" s="149"/>
      <c r="F24" s="106"/>
      <c r="G24" s="261" t="s">
        <v>75</v>
      </c>
      <c r="H24" s="23">
        <f aca="true" t="shared" si="12" ref="H24:S24">(H20+H22)-H23</f>
        <v>3</v>
      </c>
      <c r="I24" s="23">
        <f t="shared" si="12"/>
        <v>34</v>
      </c>
      <c r="J24" s="23">
        <f t="shared" si="12"/>
        <v>68</v>
      </c>
      <c r="K24" s="23">
        <f t="shared" si="12"/>
        <v>107</v>
      </c>
      <c r="L24" s="23">
        <f t="shared" si="12"/>
        <v>150</v>
      </c>
      <c r="M24" s="23">
        <f t="shared" si="12"/>
        <v>199</v>
      </c>
      <c r="N24" s="23">
        <f t="shared" si="12"/>
        <v>253</v>
      </c>
      <c r="O24" s="23">
        <f t="shared" si="12"/>
        <v>314</v>
      </c>
      <c r="P24" s="23">
        <f t="shared" si="12"/>
        <v>383</v>
      </c>
      <c r="Q24" s="23">
        <f t="shared" si="12"/>
        <v>460</v>
      </c>
      <c r="R24" s="23">
        <f t="shared" si="12"/>
        <v>547</v>
      </c>
      <c r="S24" s="23">
        <f t="shared" si="12"/>
        <v>646</v>
      </c>
      <c r="T24" s="255">
        <f>S24</f>
        <v>646</v>
      </c>
      <c r="U24" s="80"/>
      <c r="V24" s="81"/>
    </row>
    <row r="25" spans="1:22" ht="12">
      <c r="A25" s="136"/>
      <c r="B25" s="171"/>
      <c r="C25" s="171"/>
      <c r="D25" s="172"/>
      <c r="E25" s="149"/>
      <c r="F25" s="106"/>
      <c r="G25" s="26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63"/>
      <c r="U25" s="80"/>
      <c r="V25" s="81"/>
    </row>
    <row r="26" spans="1:22" ht="12">
      <c r="A26" s="135"/>
      <c r="B26" s="173"/>
      <c r="C26" s="173"/>
      <c r="D26" s="174"/>
      <c r="E26" s="151"/>
      <c r="F26" s="103"/>
      <c r="G26" s="264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265"/>
      <c r="U26" s="80"/>
      <c r="V26" s="81"/>
    </row>
    <row r="27" spans="1:22" ht="12.75">
      <c r="A27" s="137"/>
      <c r="B27" s="175"/>
      <c r="C27" s="175"/>
      <c r="D27" s="176"/>
      <c r="E27" s="157"/>
      <c r="F27" s="99"/>
      <c r="G27" s="266" t="s">
        <v>41</v>
      </c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267"/>
      <c r="U27" s="80"/>
      <c r="V27" s="81"/>
    </row>
    <row r="28" spans="1:22" ht="12">
      <c r="A28" s="133"/>
      <c r="B28" s="173"/>
      <c r="C28" s="173"/>
      <c r="D28" s="174"/>
      <c r="E28" s="151"/>
      <c r="F28" s="100"/>
      <c r="G28" s="23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40"/>
      <c r="U28" s="72"/>
      <c r="V28" s="56"/>
    </row>
    <row r="29" spans="1:22" ht="12">
      <c r="A29" s="138"/>
      <c r="B29" s="187" t="s">
        <v>41</v>
      </c>
      <c r="C29" s="209"/>
      <c r="D29" s="210"/>
      <c r="E29" s="168"/>
      <c r="F29" s="108"/>
      <c r="G29" s="268" t="s">
        <v>31</v>
      </c>
      <c r="H29" s="24">
        <f aca="true" t="shared" si="13" ref="H29:S29">(H20+H24)/2</f>
        <v>3</v>
      </c>
      <c r="I29" s="24">
        <f t="shared" si="13"/>
        <v>18.5</v>
      </c>
      <c r="J29" s="24">
        <f t="shared" si="13"/>
        <v>51</v>
      </c>
      <c r="K29" s="24">
        <f t="shared" si="13"/>
        <v>87.5</v>
      </c>
      <c r="L29" s="24">
        <f t="shared" si="13"/>
        <v>128.5</v>
      </c>
      <c r="M29" s="24">
        <f t="shared" si="13"/>
        <v>174.5</v>
      </c>
      <c r="N29" s="24">
        <f t="shared" si="13"/>
        <v>226</v>
      </c>
      <c r="O29" s="24">
        <f t="shared" si="13"/>
        <v>283.5</v>
      </c>
      <c r="P29" s="24">
        <f t="shared" si="13"/>
        <v>348.5</v>
      </c>
      <c r="Q29" s="24">
        <f t="shared" si="13"/>
        <v>421.5</v>
      </c>
      <c r="R29" s="24">
        <f t="shared" si="13"/>
        <v>503.5</v>
      </c>
      <c r="S29" s="24">
        <f t="shared" si="13"/>
        <v>596.5</v>
      </c>
      <c r="T29" s="244"/>
      <c r="U29" s="72"/>
      <c r="V29" s="56"/>
    </row>
    <row r="30" spans="1:22" ht="12">
      <c r="A30" s="204"/>
      <c r="B30" s="214" t="s">
        <v>32</v>
      </c>
      <c r="C30" s="214"/>
      <c r="D30" s="201">
        <v>100</v>
      </c>
      <c r="E30" s="197"/>
      <c r="F30" s="109"/>
      <c r="G30" s="269" t="str">
        <f>B30</f>
        <v>Ingresos Medios por Usuario al mes (ARPU):</v>
      </c>
      <c r="H30" s="22">
        <f aca="true" t="shared" si="14" ref="H30:S30">$D30</f>
        <v>100</v>
      </c>
      <c r="I30" s="22">
        <f t="shared" si="14"/>
        <v>100</v>
      </c>
      <c r="J30" s="22">
        <f t="shared" si="14"/>
        <v>100</v>
      </c>
      <c r="K30" s="22">
        <f t="shared" si="14"/>
        <v>100</v>
      </c>
      <c r="L30" s="22">
        <f t="shared" si="14"/>
        <v>100</v>
      </c>
      <c r="M30" s="22">
        <f t="shared" si="14"/>
        <v>100</v>
      </c>
      <c r="N30" s="22">
        <f t="shared" si="14"/>
        <v>100</v>
      </c>
      <c r="O30" s="22">
        <f t="shared" si="14"/>
        <v>100</v>
      </c>
      <c r="P30" s="22">
        <f t="shared" si="14"/>
        <v>100</v>
      </c>
      <c r="Q30" s="22">
        <f t="shared" si="14"/>
        <v>100</v>
      </c>
      <c r="R30" s="22">
        <f t="shared" si="14"/>
        <v>100</v>
      </c>
      <c r="S30" s="22">
        <f t="shared" si="14"/>
        <v>100</v>
      </c>
      <c r="T30" s="250"/>
      <c r="U30" s="82"/>
      <c r="V30" s="83"/>
    </row>
    <row r="31" spans="1:22" ht="12">
      <c r="A31" s="134"/>
      <c r="B31" s="212"/>
      <c r="C31" s="212"/>
      <c r="D31" s="213"/>
      <c r="E31" s="149"/>
      <c r="F31" s="101"/>
      <c r="G31" s="270" t="s">
        <v>33</v>
      </c>
      <c r="H31" s="31">
        <f aca="true" t="shared" si="15" ref="H31:S31">H29*H30</f>
        <v>300</v>
      </c>
      <c r="I31" s="31">
        <f t="shared" si="15"/>
        <v>1850</v>
      </c>
      <c r="J31" s="31">
        <f t="shared" si="15"/>
        <v>5100</v>
      </c>
      <c r="K31" s="31">
        <f t="shared" si="15"/>
        <v>8750</v>
      </c>
      <c r="L31" s="31">
        <f t="shared" si="15"/>
        <v>12850</v>
      </c>
      <c r="M31" s="31">
        <f t="shared" si="15"/>
        <v>17450</v>
      </c>
      <c r="N31" s="31">
        <f t="shared" si="15"/>
        <v>22600</v>
      </c>
      <c r="O31" s="31">
        <f t="shared" si="15"/>
        <v>28350</v>
      </c>
      <c r="P31" s="31">
        <f t="shared" si="15"/>
        <v>34850</v>
      </c>
      <c r="Q31" s="31">
        <f t="shared" si="15"/>
        <v>42150</v>
      </c>
      <c r="R31" s="31">
        <f t="shared" si="15"/>
        <v>50350</v>
      </c>
      <c r="S31" s="31">
        <f t="shared" si="15"/>
        <v>59650</v>
      </c>
      <c r="T31" s="271">
        <f>SUM(H31:S31)</f>
        <v>284250</v>
      </c>
      <c r="U31" s="72"/>
      <c r="V31" s="56"/>
    </row>
    <row r="32" spans="1:22" ht="12">
      <c r="A32" s="205"/>
      <c r="B32" s="337" t="s">
        <v>49</v>
      </c>
      <c r="C32" s="338"/>
      <c r="D32" s="195">
        <v>0.03</v>
      </c>
      <c r="E32" s="207"/>
      <c r="F32" s="100"/>
      <c r="G32" s="272" t="str">
        <f>B32</f>
        <v>Comisiones Bancos por pagos</v>
      </c>
      <c r="H32" s="32">
        <f>-H31*$D$32</f>
        <v>-9</v>
      </c>
      <c r="I32" s="32">
        <f aca="true" t="shared" si="16" ref="I32:S32">-I31*$D$32</f>
        <v>-55.5</v>
      </c>
      <c r="J32" s="32">
        <f t="shared" si="16"/>
        <v>-153</v>
      </c>
      <c r="K32" s="32">
        <f t="shared" si="16"/>
        <v>-262.5</v>
      </c>
      <c r="L32" s="32">
        <f t="shared" si="16"/>
        <v>-385.5</v>
      </c>
      <c r="M32" s="32">
        <f t="shared" si="16"/>
        <v>-523.5</v>
      </c>
      <c r="N32" s="32">
        <f t="shared" si="16"/>
        <v>-678</v>
      </c>
      <c r="O32" s="32">
        <f t="shared" si="16"/>
        <v>-850.5</v>
      </c>
      <c r="P32" s="32">
        <f t="shared" si="16"/>
        <v>-1045.5</v>
      </c>
      <c r="Q32" s="32">
        <f t="shared" si="16"/>
        <v>-1264.5</v>
      </c>
      <c r="R32" s="32">
        <f t="shared" si="16"/>
        <v>-1510.5</v>
      </c>
      <c r="S32" s="32">
        <f t="shared" si="16"/>
        <v>-1789.5</v>
      </c>
      <c r="T32" s="273">
        <f>SUM(H32:S32)</f>
        <v>-8527.5</v>
      </c>
      <c r="U32" s="72"/>
      <c r="V32" s="56"/>
    </row>
    <row r="33" spans="1:22" s="19" customFormat="1" ht="12">
      <c r="A33" s="134"/>
      <c r="B33" s="177"/>
      <c r="C33" s="171"/>
      <c r="D33" s="172"/>
      <c r="E33" s="149"/>
      <c r="F33" s="101"/>
      <c r="G33" s="274" t="s">
        <v>27</v>
      </c>
      <c r="H33" s="33">
        <f>H31+H32</f>
        <v>291</v>
      </c>
      <c r="I33" s="33">
        <f aca="true" t="shared" si="17" ref="I33:S33">I31+I32</f>
        <v>1794.5</v>
      </c>
      <c r="J33" s="33">
        <f t="shared" si="17"/>
        <v>4947</v>
      </c>
      <c r="K33" s="33">
        <f t="shared" si="17"/>
        <v>8487.5</v>
      </c>
      <c r="L33" s="33">
        <f t="shared" si="17"/>
        <v>12464.5</v>
      </c>
      <c r="M33" s="33">
        <f t="shared" si="17"/>
        <v>16926.5</v>
      </c>
      <c r="N33" s="33">
        <f t="shared" si="17"/>
        <v>21922</v>
      </c>
      <c r="O33" s="33">
        <f t="shared" si="17"/>
        <v>27499.5</v>
      </c>
      <c r="P33" s="33">
        <f t="shared" si="17"/>
        <v>33804.5</v>
      </c>
      <c r="Q33" s="33">
        <f t="shared" si="17"/>
        <v>40885.5</v>
      </c>
      <c r="R33" s="33">
        <f t="shared" si="17"/>
        <v>48839.5</v>
      </c>
      <c r="S33" s="33">
        <f t="shared" si="17"/>
        <v>57860.5</v>
      </c>
      <c r="T33" s="275">
        <f>SUM(H33:S33)</f>
        <v>275722.5</v>
      </c>
      <c r="U33" s="72"/>
      <c r="V33" s="56"/>
    </row>
    <row r="34" spans="1:22" ht="12">
      <c r="A34" s="139"/>
      <c r="B34" s="178"/>
      <c r="C34" s="178"/>
      <c r="D34" s="179"/>
      <c r="E34" s="163"/>
      <c r="F34" s="110"/>
      <c r="G34" s="276" t="s">
        <v>34</v>
      </c>
      <c r="H34" s="14"/>
      <c r="I34" s="14"/>
      <c r="J34" s="14">
        <f aca="true" t="shared" si="18" ref="J34:S34">(J33-I33)/I33</f>
        <v>1.7567567567567568</v>
      </c>
      <c r="K34" s="14">
        <f t="shared" si="18"/>
        <v>0.7156862745098039</v>
      </c>
      <c r="L34" s="14">
        <f t="shared" si="18"/>
        <v>0.4685714285714286</v>
      </c>
      <c r="M34" s="14">
        <f t="shared" si="18"/>
        <v>0.35797665369649806</v>
      </c>
      <c r="N34" s="14">
        <f t="shared" si="18"/>
        <v>0.29512893982808025</v>
      </c>
      <c r="O34" s="14">
        <f t="shared" si="18"/>
        <v>0.25442477876106195</v>
      </c>
      <c r="P34" s="14">
        <f t="shared" si="18"/>
        <v>0.2292768959435626</v>
      </c>
      <c r="Q34" s="14">
        <f t="shared" si="18"/>
        <v>0.20946915351506457</v>
      </c>
      <c r="R34" s="14">
        <f t="shared" si="18"/>
        <v>0.19454329774614473</v>
      </c>
      <c r="S34" s="14">
        <f t="shared" si="18"/>
        <v>0.18470705064548162</v>
      </c>
      <c r="T34" s="277"/>
      <c r="U34" s="84"/>
      <c r="V34" s="85"/>
    </row>
    <row r="35" spans="1:22" ht="12">
      <c r="A35" s="139"/>
      <c r="B35" s="178"/>
      <c r="C35" s="178"/>
      <c r="D35" s="179"/>
      <c r="E35" s="163"/>
      <c r="F35" s="110"/>
      <c r="G35" s="278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279"/>
      <c r="U35" s="84"/>
      <c r="V35" s="85"/>
    </row>
    <row r="36" spans="1:22" ht="12">
      <c r="A36" s="133"/>
      <c r="B36" s="173"/>
      <c r="C36" s="173"/>
      <c r="D36" s="174"/>
      <c r="E36" s="151"/>
      <c r="F36" s="100"/>
      <c r="G36" s="280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281"/>
      <c r="U36" s="72"/>
      <c r="V36" s="56"/>
    </row>
    <row r="37" spans="1:22" ht="12.75">
      <c r="A37" s="137"/>
      <c r="B37" s="175"/>
      <c r="C37" s="175"/>
      <c r="D37" s="176"/>
      <c r="E37" s="157"/>
      <c r="F37" s="99"/>
      <c r="G37" s="266" t="s">
        <v>26</v>
      </c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267"/>
      <c r="U37" s="72"/>
      <c r="V37" s="56"/>
    </row>
    <row r="38" spans="1:22" ht="12">
      <c r="A38" s="133"/>
      <c r="B38" s="187" t="s">
        <v>12</v>
      </c>
      <c r="C38" s="211"/>
      <c r="D38" s="174"/>
      <c r="E38" s="151"/>
      <c r="F38" s="100"/>
      <c r="G38" s="282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83"/>
      <c r="U38" s="72"/>
      <c r="V38" s="56"/>
    </row>
    <row r="39" spans="1:22" ht="12">
      <c r="A39" s="206"/>
      <c r="B39" s="215" t="s">
        <v>96</v>
      </c>
      <c r="C39" s="215" t="s">
        <v>5</v>
      </c>
      <c r="D39" s="216" t="s">
        <v>6</v>
      </c>
      <c r="E39" s="208"/>
      <c r="F39" s="101"/>
      <c r="G39" s="241" t="str">
        <f>B38</f>
        <v>Personal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242"/>
      <c r="U39" s="72"/>
      <c r="V39" s="56"/>
    </row>
    <row r="40" spans="1:22" s="30" customFormat="1" ht="12">
      <c r="A40" s="206"/>
      <c r="B40" s="336" t="s">
        <v>45</v>
      </c>
      <c r="C40" s="336"/>
      <c r="D40" s="336"/>
      <c r="E40" s="208"/>
      <c r="F40" s="101"/>
      <c r="G40" s="284" t="str">
        <f>B40</f>
        <v>Dirección 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285"/>
      <c r="U40" s="72"/>
      <c r="V40" s="56"/>
    </row>
    <row r="41" spans="1:22" ht="12">
      <c r="A41" s="217"/>
      <c r="B41" s="222" t="s">
        <v>0</v>
      </c>
      <c r="C41" s="222">
        <v>43831</v>
      </c>
      <c r="D41" s="223">
        <v>25000</v>
      </c>
      <c r="E41" s="197"/>
      <c r="F41" s="111"/>
      <c r="G41" s="286" t="str">
        <f>B41</f>
        <v>CEO</v>
      </c>
      <c r="H41" s="47">
        <f>IF((H$3&gt;=$C41),-($D41/12),0)</f>
        <v>-2083.3333333333335</v>
      </c>
      <c r="I41" s="37">
        <f aca="true" t="shared" si="19" ref="I41:S57">IF((I$3&gt;=$C41),-($D41/12),0)</f>
        <v>-2083.3333333333335</v>
      </c>
      <c r="J41" s="37">
        <f t="shared" si="19"/>
        <v>-2083.3333333333335</v>
      </c>
      <c r="K41" s="37">
        <f t="shared" si="19"/>
        <v>-2083.3333333333335</v>
      </c>
      <c r="L41" s="37">
        <f t="shared" si="19"/>
        <v>-2083.3333333333335</v>
      </c>
      <c r="M41" s="37">
        <f t="shared" si="19"/>
        <v>-2083.3333333333335</v>
      </c>
      <c r="N41" s="37">
        <f t="shared" si="19"/>
        <v>-2083.3333333333335</v>
      </c>
      <c r="O41" s="37">
        <f t="shared" si="19"/>
        <v>-2083.3333333333335</v>
      </c>
      <c r="P41" s="37">
        <f t="shared" si="19"/>
        <v>-2083.3333333333335</v>
      </c>
      <c r="Q41" s="37">
        <f t="shared" si="19"/>
        <v>-2083.3333333333335</v>
      </c>
      <c r="R41" s="37">
        <f t="shared" si="19"/>
        <v>-2083.3333333333335</v>
      </c>
      <c r="S41" s="37">
        <f t="shared" si="19"/>
        <v>-2083.3333333333335</v>
      </c>
      <c r="T41" s="287">
        <f aca="true" t="shared" si="20" ref="T41:T60">SUM(H41:S41)</f>
        <v>-24999.999999999996</v>
      </c>
      <c r="U41" s="86"/>
      <c r="V41" s="87"/>
    </row>
    <row r="42" spans="1:22" ht="12">
      <c r="A42" s="217"/>
      <c r="B42" s="222" t="s">
        <v>1</v>
      </c>
      <c r="C42" s="222">
        <v>43891</v>
      </c>
      <c r="D42" s="223">
        <v>25000</v>
      </c>
      <c r="E42" s="197"/>
      <c r="F42" s="111"/>
      <c r="G42" s="288" t="str">
        <f aca="true" t="shared" si="21" ref="G42:G59">B42</f>
        <v>CTO</v>
      </c>
      <c r="H42" s="46">
        <f>IF((H$3&gt;=$C42),-($D42/12),0)</f>
        <v>0</v>
      </c>
      <c r="I42" s="22">
        <f t="shared" si="19"/>
        <v>0</v>
      </c>
      <c r="J42" s="22">
        <f t="shared" si="19"/>
        <v>-2083.3333333333335</v>
      </c>
      <c r="K42" s="22">
        <f t="shared" si="19"/>
        <v>-2083.3333333333335</v>
      </c>
      <c r="L42" s="22">
        <f t="shared" si="19"/>
        <v>-2083.3333333333335</v>
      </c>
      <c r="M42" s="22">
        <f t="shared" si="19"/>
        <v>-2083.3333333333335</v>
      </c>
      <c r="N42" s="22">
        <f t="shared" si="19"/>
        <v>-2083.3333333333335</v>
      </c>
      <c r="O42" s="22">
        <f t="shared" si="19"/>
        <v>-2083.3333333333335</v>
      </c>
      <c r="P42" s="22">
        <f t="shared" si="19"/>
        <v>-2083.3333333333335</v>
      </c>
      <c r="Q42" s="22">
        <f t="shared" si="19"/>
        <v>-2083.3333333333335</v>
      </c>
      <c r="R42" s="22">
        <f t="shared" si="19"/>
        <v>-2083.3333333333335</v>
      </c>
      <c r="S42" s="22">
        <f t="shared" si="19"/>
        <v>-2083.3333333333335</v>
      </c>
      <c r="T42" s="250">
        <f t="shared" si="20"/>
        <v>-20833.333333333332</v>
      </c>
      <c r="U42" s="72"/>
      <c r="V42" s="56"/>
    </row>
    <row r="43" spans="1:22" s="30" customFormat="1" ht="12">
      <c r="A43" s="217"/>
      <c r="B43" s="222" t="s">
        <v>84</v>
      </c>
      <c r="C43" s="222">
        <v>43891</v>
      </c>
      <c r="D43" s="223"/>
      <c r="E43" s="197"/>
      <c r="F43" s="111"/>
      <c r="G43" s="286" t="str">
        <f>B43</f>
        <v>CFO</v>
      </c>
      <c r="H43" s="47">
        <f>IF((H$3&gt;=$C43),-($D43/12),0)</f>
        <v>0</v>
      </c>
      <c r="I43" s="37">
        <f t="shared" si="19"/>
        <v>0</v>
      </c>
      <c r="J43" s="37">
        <f t="shared" si="19"/>
        <v>0</v>
      </c>
      <c r="K43" s="37">
        <f t="shared" si="19"/>
        <v>0</v>
      </c>
      <c r="L43" s="37">
        <f t="shared" si="19"/>
        <v>0</v>
      </c>
      <c r="M43" s="37">
        <f t="shared" si="19"/>
        <v>0</v>
      </c>
      <c r="N43" s="37">
        <f t="shared" si="19"/>
        <v>0</v>
      </c>
      <c r="O43" s="37">
        <f t="shared" si="19"/>
        <v>0</v>
      </c>
      <c r="P43" s="37">
        <f t="shared" si="19"/>
        <v>0</v>
      </c>
      <c r="Q43" s="37">
        <f t="shared" si="19"/>
        <v>0</v>
      </c>
      <c r="R43" s="37">
        <f t="shared" si="19"/>
        <v>0</v>
      </c>
      <c r="S43" s="37">
        <f t="shared" si="19"/>
        <v>0</v>
      </c>
      <c r="T43" s="287">
        <f>SUM(H43:S43)</f>
        <v>0</v>
      </c>
      <c r="U43" s="86"/>
      <c r="V43" s="87"/>
    </row>
    <row r="44" spans="1:22" s="30" customFormat="1" ht="12">
      <c r="A44" s="217"/>
      <c r="B44" s="222"/>
      <c r="C44" s="222">
        <v>43862</v>
      </c>
      <c r="D44" s="223"/>
      <c r="E44" s="197"/>
      <c r="F44" s="111"/>
      <c r="G44" s="288">
        <f>B44</f>
        <v>0</v>
      </c>
      <c r="H44" s="46">
        <f>IF((H$3&gt;=$C44),-($D44/12),0)</f>
        <v>0</v>
      </c>
      <c r="I44" s="22">
        <f t="shared" si="19"/>
        <v>0</v>
      </c>
      <c r="J44" s="22">
        <f t="shared" si="19"/>
        <v>0</v>
      </c>
      <c r="K44" s="22">
        <f t="shared" si="19"/>
        <v>0</v>
      </c>
      <c r="L44" s="22">
        <f t="shared" si="19"/>
        <v>0</v>
      </c>
      <c r="M44" s="22">
        <f t="shared" si="19"/>
        <v>0</v>
      </c>
      <c r="N44" s="22">
        <f t="shared" si="19"/>
        <v>0</v>
      </c>
      <c r="O44" s="22">
        <f t="shared" si="19"/>
        <v>0</v>
      </c>
      <c r="P44" s="22">
        <f t="shared" si="19"/>
        <v>0</v>
      </c>
      <c r="Q44" s="22">
        <f t="shared" si="19"/>
        <v>0</v>
      </c>
      <c r="R44" s="22">
        <f t="shared" si="19"/>
        <v>0</v>
      </c>
      <c r="S44" s="22">
        <f t="shared" si="19"/>
        <v>0</v>
      </c>
      <c r="T44" s="250">
        <f>SUM(H44:S44)</f>
        <v>0</v>
      </c>
      <c r="U44" s="72"/>
      <c r="V44" s="56"/>
    </row>
    <row r="45" spans="1:22" s="30" customFormat="1" ht="12">
      <c r="A45" s="206"/>
      <c r="B45" s="336" t="s">
        <v>46</v>
      </c>
      <c r="C45" s="336"/>
      <c r="D45" s="336"/>
      <c r="E45" s="208"/>
      <c r="F45" s="101"/>
      <c r="G45" s="289" t="str">
        <f>B45</f>
        <v>Personal Operativo</v>
      </c>
      <c r="H45" s="4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285"/>
      <c r="U45" s="72"/>
      <c r="V45" s="56"/>
    </row>
    <row r="46" spans="1:22" ht="12">
      <c r="A46" s="217"/>
      <c r="B46" s="222" t="s">
        <v>8</v>
      </c>
      <c r="C46" s="222">
        <v>43983</v>
      </c>
      <c r="D46" s="223">
        <v>25000</v>
      </c>
      <c r="E46" s="197"/>
      <c r="F46" s="111"/>
      <c r="G46" s="288" t="str">
        <f t="shared" si="21"/>
        <v>Soporte producto</v>
      </c>
      <c r="H46" s="46">
        <f>IF((H$3&gt;=$C46),-($D46/12),0)</f>
        <v>0</v>
      </c>
      <c r="I46" s="22">
        <f t="shared" si="19"/>
        <v>0</v>
      </c>
      <c r="J46" s="22">
        <f t="shared" si="19"/>
        <v>0</v>
      </c>
      <c r="K46" s="22">
        <f t="shared" si="19"/>
        <v>0</v>
      </c>
      <c r="L46" s="22">
        <f t="shared" si="19"/>
        <v>0</v>
      </c>
      <c r="M46" s="22">
        <f t="shared" si="19"/>
        <v>-2083.3333333333335</v>
      </c>
      <c r="N46" s="22">
        <f t="shared" si="19"/>
        <v>-2083.3333333333335</v>
      </c>
      <c r="O46" s="22">
        <f t="shared" si="19"/>
        <v>-2083.3333333333335</v>
      </c>
      <c r="P46" s="22">
        <f t="shared" si="19"/>
        <v>-2083.3333333333335</v>
      </c>
      <c r="Q46" s="22">
        <f t="shared" si="19"/>
        <v>-2083.3333333333335</v>
      </c>
      <c r="R46" s="22">
        <f t="shared" si="19"/>
        <v>-2083.3333333333335</v>
      </c>
      <c r="S46" s="22">
        <f t="shared" si="19"/>
        <v>-2083.3333333333335</v>
      </c>
      <c r="T46" s="250">
        <f t="shared" si="20"/>
        <v>-14583.333333333336</v>
      </c>
      <c r="U46" s="86"/>
      <c r="V46" s="87"/>
    </row>
    <row r="47" spans="1:22" ht="12">
      <c r="A47" s="217"/>
      <c r="B47" s="222" t="s">
        <v>8</v>
      </c>
      <c r="C47" s="222">
        <v>44075</v>
      </c>
      <c r="D47" s="223">
        <v>20000</v>
      </c>
      <c r="E47" s="197"/>
      <c r="F47" s="111"/>
      <c r="G47" s="288" t="str">
        <f t="shared" si="21"/>
        <v>Soporte producto</v>
      </c>
      <c r="H47" s="46">
        <f>IF((H$3&gt;=$C47),-($D47/12),0)</f>
        <v>0</v>
      </c>
      <c r="I47" s="22">
        <f t="shared" si="19"/>
        <v>0</v>
      </c>
      <c r="J47" s="22">
        <f t="shared" si="19"/>
        <v>0</v>
      </c>
      <c r="K47" s="22">
        <f t="shared" si="19"/>
        <v>0</v>
      </c>
      <c r="L47" s="22">
        <f t="shared" si="19"/>
        <v>0</v>
      </c>
      <c r="M47" s="22">
        <f t="shared" si="19"/>
        <v>0</v>
      </c>
      <c r="N47" s="22">
        <f t="shared" si="19"/>
        <v>0</v>
      </c>
      <c r="O47" s="22">
        <f t="shared" si="19"/>
        <v>0</v>
      </c>
      <c r="P47" s="22">
        <f t="shared" si="19"/>
        <v>-1666.6666666666667</v>
      </c>
      <c r="Q47" s="22">
        <f t="shared" si="19"/>
        <v>-1666.6666666666667</v>
      </c>
      <c r="R47" s="22">
        <f t="shared" si="19"/>
        <v>-1666.6666666666667</v>
      </c>
      <c r="S47" s="22">
        <f t="shared" si="19"/>
        <v>-1666.6666666666667</v>
      </c>
      <c r="T47" s="250">
        <f t="shared" si="20"/>
        <v>-6666.666666666667</v>
      </c>
      <c r="U47" s="86"/>
      <c r="V47" s="87"/>
    </row>
    <row r="48" spans="1:22" s="30" customFormat="1" ht="12">
      <c r="A48" s="206"/>
      <c r="B48" s="336" t="s">
        <v>52</v>
      </c>
      <c r="C48" s="336"/>
      <c r="D48" s="336"/>
      <c r="E48" s="208"/>
      <c r="F48" s="101"/>
      <c r="G48" s="289" t="str">
        <f>B48</f>
        <v>Personal I+D+i</v>
      </c>
      <c r="H48" s="4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285"/>
      <c r="U48" s="72"/>
      <c r="V48" s="56"/>
    </row>
    <row r="49" spans="1:22" ht="12">
      <c r="A49" s="217"/>
      <c r="B49" s="222" t="s">
        <v>53</v>
      </c>
      <c r="C49" s="222">
        <v>43862</v>
      </c>
      <c r="D49" s="223">
        <v>30000</v>
      </c>
      <c r="E49" s="197"/>
      <c r="F49" s="111"/>
      <c r="G49" s="288" t="str">
        <f t="shared" si="21"/>
        <v>Desarrollador</v>
      </c>
      <c r="H49" s="46">
        <f>IF((H$3&gt;=$C49),-($D49/12),0)</f>
        <v>0</v>
      </c>
      <c r="I49" s="22">
        <f t="shared" si="19"/>
        <v>-2500</v>
      </c>
      <c r="J49" s="22">
        <f t="shared" si="19"/>
        <v>-2500</v>
      </c>
      <c r="K49" s="22">
        <f t="shared" si="19"/>
        <v>-2500</v>
      </c>
      <c r="L49" s="22">
        <f t="shared" si="19"/>
        <v>-2500</v>
      </c>
      <c r="M49" s="22">
        <f t="shared" si="19"/>
        <v>-2500</v>
      </c>
      <c r="N49" s="22">
        <f t="shared" si="19"/>
        <v>-2500</v>
      </c>
      <c r="O49" s="22">
        <f t="shared" si="19"/>
        <v>-2500</v>
      </c>
      <c r="P49" s="22">
        <f t="shared" si="19"/>
        <v>-2500</v>
      </c>
      <c r="Q49" s="22">
        <f t="shared" si="19"/>
        <v>-2500</v>
      </c>
      <c r="R49" s="22">
        <f t="shared" si="19"/>
        <v>-2500</v>
      </c>
      <c r="S49" s="22">
        <f t="shared" si="19"/>
        <v>-2500</v>
      </c>
      <c r="T49" s="250">
        <f t="shared" si="20"/>
        <v>-27500</v>
      </c>
      <c r="U49" s="86"/>
      <c r="V49" s="87"/>
    </row>
    <row r="50" spans="1:22" ht="12">
      <c r="A50" s="217"/>
      <c r="B50" s="222" t="s">
        <v>54</v>
      </c>
      <c r="C50" s="222">
        <v>43922</v>
      </c>
      <c r="D50" s="223">
        <v>35000</v>
      </c>
      <c r="E50" s="197"/>
      <c r="F50" s="111"/>
      <c r="G50" s="288" t="str">
        <f t="shared" si="21"/>
        <v>Desarrollador FrontEnd</v>
      </c>
      <c r="H50" s="46">
        <f>IF((H$3&gt;=$C50),-($D50/12),0)</f>
        <v>0</v>
      </c>
      <c r="I50" s="22">
        <f t="shared" si="19"/>
        <v>0</v>
      </c>
      <c r="J50" s="22">
        <f t="shared" si="19"/>
        <v>0</v>
      </c>
      <c r="K50" s="22">
        <f t="shared" si="19"/>
        <v>-2916.6666666666665</v>
      </c>
      <c r="L50" s="22">
        <f t="shared" si="19"/>
        <v>-2916.6666666666665</v>
      </c>
      <c r="M50" s="22">
        <f t="shared" si="19"/>
        <v>-2916.6666666666665</v>
      </c>
      <c r="N50" s="22">
        <f t="shared" si="19"/>
        <v>-2916.6666666666665</v>
      </c>
      <c r="O50" s="22">
        <f t="shared" si="19"/>
        <v>-2916.6666666666665</v>
      </c>
      <c r="P50" s="22">
        <f t="shared" si="19"/>
        <v>-2916.6666666666665</v>
      </c>
      <c r="Q50" s="22">
        <f t="shared" si="19"/>
        <v>-2916.6666666666665</v>
      </c>
      <c r="R50" s="22">
        <f t="shared" si="19"/>
        <v>-2916.6666666666665</v>
      </c>
      <c r="S50" s="22">
        <f t="shared" si="19"/>
        <v>-2916.6666666666665</v>
      </c>
      <c r="T50" s="250">
        <f t="shared" si="20"/>
        <v>-26250.000000000004</v>
      </c>
      <c r="U50" s="86"/>
      <c r="V50" s="87"/>
    </row>
    <row r="51" spans="1:22" ht="12">
      <c r="A51" s="217"/>
      <c r="B51" s="222" t="s">
        <v>55</v>
      </c>
      <c r="C51" s="222">
        <v>43983</v>
      </c>
      <c r="D51" s="223">
        <v>0</v>
      </c>
      <c r="E51" s="197"/>
      <c r="F51" s="111"/>
      <c r="G51" s="288" t="str">
        <f t="shared" si="21"/>
        <v>Desarrollador UX</v>
      </c>
      <c r="H51" s="46">
        <f>IF((H$3&gt;=$C51),-($D51/12),0)</f>
        <v>0</v>
      </c>
      <c r="I51" s="22">
        <f t="shared" si="19"/>
        <v>0</v>
      </c>
      <c r="J51" s="22">
        <f t="shared" si="19"/>
        <v>0</v>
      </c>
      <c r="K51" s="22">
        <f t="shared" si="19"/>
        <v>0</v>
      </c>
      <c r="L51" s="22">
        <f t="shared" si="19"/>
        <v>0</v>
      </c>
      <c r="M51" s="22">
        <f t="shared" si="19"/>
        <v>0</v>
      </c>
      <c r="N51" s="22">
        <f t="shared" si="19"/>
        <v>0</v>
      </c>
      <c r="O51" s="22">
        <f t="shared" si="19"/>
        <v>0</v>
      </c>
      <c r="P51" s="22">
        <f t="shared" si="19"/>
        <v>0</v>
      </c>
      <c r="Q51" s="22">
        <f t="shared" si="19"/>
        <v>0</v>
      </c>
      <c r="R51" s="22">
        <f t="shared" si="19"/>
        <v>0</v>
      </c>
      <c r="S51" s="22">
        <f t="shared" si="19"/>
        <v>0</v>
      </c>
      <c r="T51" s="250">
        <f t="shared" si="20"/>
        <v>0</v>
      </c>
      <c r="U51" s="86"/>
      <c r="V51" s="87"/>
    </row>
    <row r="52" spans="1:22" s="30" customFormat="1" ht="12">
      <c r="A52" s="206"/>
      <c r="B52" s="336" t="s">
        <v>51</v>
      </c>
      <c r="C52" s="336"/>
      <c r="D52" s="336"/>
      <c r="E52" s="208"/>
      <c r="F52" s="101"/>
      <c r="G52" s="289" t="str">
        <f>B52</f>
        <v>Personal Ventas &amp; MKT</v>
      </c>
      <c r="H52" s="4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285"/>
      <c r="U52" s="72"/>
      <c r="V52" s="56"/>
    </row>
    <row r="53" spans="1:22" ht="12">
      <c r="A53" s="217"/>
      <c r="B53" s="222" t="s">
        <v>9</v>
      </c>
      <c r="C53" s="222">
        <v>43891</v>
      </c>
      <c r="D53" s="223">
        <v>25000</v>
      </c>
      <c r="E53" s="197"/>
      <c r="F53" s="111"/>
      <c r="G53" s="288" t="str">
        <f t="shared" si="21"/>
        <v>Comercial</v>
      </c>
      <c r="H53" s="46">
        <f>IF((H$3&gt;=$C53),-($D53/12),0)</f>
        <v>0</v>
      </c>
      <c r="I53" s="22">
        <f t="shared" si="19"/>
        <v>0</v>
      </c>
      <c r="J53" s="22">
        <f t="shared" si="19"/>
        <v>-2083.3333333333335</v>
      </c>
      <c r="K53" s="22">
        <f t="shared" si="19"/>
        <v>-2083.3333333333335</v>
      </c>
      <c r="L53" s="22">
        <f t="shared" si="19"/>
        <v>-2083.3333333333335</v>
      </c>
      <c r="M53" s="22">
        <f t="shared" si="19"/>
        <v>-2083.3333333333335</v>
      </c>
      <c r="N53" s="22">
        <f t="shared" si="19"/>
        <v>-2083.3333333333335</v>
      </c>
      <c r="O53" s="22">
        <f t="shared" si="19"/>
        <v>-2083.3333333333335</v>
      </c>
      <c r="P53" s="22">
        <f t="shared" si="19"/>
        <v>-2083.3333333333335</v>
      </c>
      <c r="Q53" s="22">
        <f t="shared" si="19"/>
        <v>-2083.3333333333335</v>
      </c>
      <c r="R53" s="22">
        <f t="shared" si="19"/>
        <v>-2083.3333333333335</v>
      </c>
      <c r="S53" s="22">
        <f t="shared" si="19"/>
        <v>-2083.3333333333335</v>
      </c>
      <c r="T53" s="250">
        <f t="shared" si="20"/>
        <v>-20833.333333333332</v>
      </c>
      <c r="U53" s="86"/>
      <c r="V53" s="87"/>
    </row>
    <row r="54" spans="1:22" ht="12">
      <c r="A54" s="217"/>
      <c r="B54" s="222" t="s">
        <v>9</v>
      </c>
      <c r="C54" s="222">
        <v>43983</v>
      </c>
      <c r="D54" s="223">
        <v>25000</v>
      </c>
      <c r="E54" s="197"/>
      <c r="F54" s="111"/>
      <c r="G54" s="288" t="str">
        <f t="shared" si="21"/>
        <v>Comercial</v>
      </c>
      <c r="H54" s="46">
        <f>IF((H$3&gt;=$C54),-($D54/12),0)</f>
        <v>0</v>
      </c>
      <c r="I54" s="22">
        <f t="shared" si="19"/>
        <v>0</v>
      </c>
      <c r="J54" s="22">
        <f t="shared" si="19"/>
        <v>0</v>
      </c>
      <c r="K54" s="22">
        <f t="shared" si="19"/>
        <v>0</v>
      </c>
      <c r="L54" s="22">
        <f t="shared" si="19"/>
        <v>0</v>
      </c>
      <c r="M54" s="22">
        <f t="shared" si="19"/>
        <v>-2083.3333333333335</v>
      </c>
      <c r="N54" s="22">
        <f t="shared" si="19"/>
        <v>-2083.3333333333335</v>
      </c>
      <c r="O54" s="22">
        <f t="shared" si="19"/>
        <v>-2083.3333333333335</v>
      </c>
      <c r="P54" s="22">
        <f t="shared" si="19"/>
        <v>-2083.3333333333335</v>
      </c>
      <c r="Q54" s="22">
        <f t="shared" si="19"/>
        <v>-2083.3333333333335</v>
      </c>
      <c r="R54" s="22">
        <f t="shared" si="19"/>
        <v>-2083.3333333333335</v>
      </c>
      <c r="S54" s="22">
        <f t="shared" si="19"/>
        <v>-2083.3333333333335</v>
      </c>
      <c r="T54" s="250">
        <f t="shared" si="20"/>
        <v>-14583.333333333336</v>
      </c>
      <c r="U54" s="86"/>
      <c r="V54" s="87"/>
    </row>
    <row r="55" spans="1:22" ht="12">
      <c r="A55" s="217"/>
      <c r="B55" s="222" t="s">
        <v>9</v>
      </c>
      <c r="C55" s="222">
        <v>44105</v>
      </c>
      <c r="D55" s="224">
        <v>21000</v>
      </c>
      <c r="E55" s="197"/>
      <c r="F55" s="111"/>
      <c r="G55" s="288" t="str">
        <f t="shared" si="21"/>
        <v>Comercial</v>
      </c>
      <c r="H55" s="46">
        <f>IF((H$3&gt;=$C55),-($D55/12),0)</f>
        <v>0</v>
      </c>
      <c r="I55" s="22">
        <f t="shared" si="19"/>
        <v>0</v>
      </c>
      <c r="J55" s="22">
        <f t="shared" si="19"/>
        <v>0</v>
      </c>
      <c r="K55" s="22">
        <f t="shared" si="19"/>
        <v>0</v>
      </c>
      <c r="L55" s="22">
        <f t="shared" si="19"/>
        <v>0</v>
      </c>
      <c r="M55" s="22">
        <f t="shared" si="19"/>
        <v>0</v>
      </c>
      <c r="N55" s="22">
        <f t="shared" si="19"/>
        <v>0</v>
      </c>
      <c r="O55" s="22">
        <f t="shared" si="19"/>
        <v>0</v>
      </c>
      <c r="P55" s="22">
        <f t="shared" si="19"/>
        <v>0</v>
      </c>
      <c r="Q55" s="22">
        <f t="shared" si="19"/>
        <v>-1750</v>
      </c>
      <c r="R55" s="22">
        <f t="shared" si="19"/>
        <v>-1750</v>
      </c>
      <c r="S55" s="22">
        <f t="shared" si="19"/>
        <v>-1750</v>
      </c>
      <c r="T55" s="250">
        <f t="shared" si="20"/>
        <v>-5250</v>
      </c>
      <c r="U55" s="86"/>
      <c r="V55" s="87"/>
    </row>
    <row r="56" spans="1:22" s="30" customFormat="1" ht="12">
      <c r="A56" s="206"/>
      <c r="B56" s="336" t="s">
        <v>47</v>
      </c>
      <c r="C56" s="336"/>
      <c r="D56" s="336"/>
      <c r="E56" s="208"/>
      <c r="F56" s="101"/>
      <c r="G56" s="289" t="str">
        <f>B56</f>
        <v>Personal Administrativo</v>
      </c>
      <c r="H56" s="4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285"/>
      <c r="U56" s="72"/>
      <c r="V56" s="56"/>
    </row>
    <row r="57" spans="1:22" s="30" customFormat="1" ht="12">
      <c r="A57" s="217"/>
      <c r="B57" s="222" t="s">
        <v>81</v>
      </c>
      <c r="C57" s="222">
        <v>44075</v>
      </c>
      <c r="D57" s="223">
        <v>18000</v>
      </c>
      <c r="E57" s="197"/>
      <c r="F57" s="111"/>
      <c r="G57" s="288" t="str">
        <f>B57</f>
        <v>Administrativo</v>
      </c>
      <c r="H57" s="46">
        <f>IF((H$3&gt;=$C57),-($D57/12),0)</f>
        <v>0</v>
      </c>
      <c r="I57" s="22">
        <f t="shared" si="19"/>
        <v>0</v>
      </c>
      <c r="J57" s="22">
        <f t="shared" si="19"/>
        <v>0</v>
      </c>
      <c r="K57" s="22">
        <f t="shared" si="19"/>
        <v>0</v>
      </c>
      <c r="L57" s="22">
        <f t="shared" si="19"/>
        <v>0</v>
      </c>
      <c r="M57" s="22">
        <f t="shared" si="19"/>
        <v>0</v>
      </c>
      <c r="N57" s="22">
        <f t="shared" si="19"/>
        <v>0</v>
      </c>
      <c r="O57" s="22">
        <f t="shared" si="19"/>
        <v>0</v>
      </c>
      <c r="P57" s="22">
        <f t="shared" si="19"/>
        <v>-1500</v>
      </c>
      <c r="Q57" s="22">
        <f t="shared" si="19"/>
        <v>-1500</v>
      </c>
      <c r="R57" s="22">
        <f t="shared" si="19"/>
        <v>-1500</v>
      </c>
      <c r="S57" s="22">
        <f t="shared" si="19"/>
        <v>-1500</v>
      </c>
      <c r="T57" s="250">
        <f>SUM(H57:S57)</f>
        <v>-6000</v>
      </c>
      <c r="U57" s="86"/>
      <c r="V57" s="87"/>
    </row>
    <row r="58" spans="1:22" s="30" customFormat="1" ht="12">
      <c r="A58" s="217"/>
      <c r="B58" s="222" t="s">
        <v>82</v>
      </c>
      <c r="C58" s="222">
        <v>43862</v>
      </c>
      <c r="D58" s="223">
        <v>0</v>
      </c>
      <c r="E58" s="197"/>
      <c r="F58" s="111"/>
      <c r="G58" s="290" t="str">
        <f>B58</f>
        <v>Administrativo 2</v>
      </c>
      <c r="H58" s="49">
        <f>IF((H$3&gt;=$C58),-($D58/12),0)</f>
        <v>0</v>
      </c>
      <c r="I58" s="32">
        <f aca="true" t="shared" si="22" ref="I58:S58">IF((I$3&gt;=$C58),-($D58/12),0)</f>
        <v>0</v>
      </c>
      <c r="J58" s="32">
        <f t="shared" si="22"/>
        <v>0</v>
      </c>
      <c r="K58" s="32">
        <f t="shared" si="22"/>
        <v>0</v>
      </c>
      <c r="L58" s="32">
        <f t="shared" si="22"/>
        <v>0</v>
      </c>
      <c r="M58" s="32">
        <f t="shared" si="22"/>
        <v>0</v>
      </c>
      <c r="N58" s="32">
        <f t="shared" si="22"/>
        <v>0</v>
      </c>
      <c r="O58" s="32">
        <f t="shared" si="22"/>
        <v>0</v>
      </c>
      <c r="P58" s="32">
        <f t="shared" si="22"/>
        <v>0</v>
      </c>
      <c r="Q58" s="32">
        <f t="shared" si="22"/>
        <v>0</v>
      </c>
      <c r="R58" s="32">
        <f t="shared" si="22"/>
        <v>0</v>
      </c>
      <c r="S58" s="32">
        <f t="shared" si="22"/>
        <v>0</v>
      </c>
      <c r="T58" s="273">
        <f>SUM(H58:S58)</f>
        <v>0</v>
      </c>
      <c r="U58" s="86"/>
      <c r="V58" s="87"/>
    </row>
    <row r="59" spans="1:22" ht="12">
      <c r="A59" s="218"/>
      <c r="B59" s="226" t="s">
        <v>10</v>
      </c>
      <c r="C59" s="226"/>
      <c r="D59" s="227">
        <v>0.3</v>
      </c>
      <c r="E59" s="192"/>
      <c r="F59" s="112"/>
      <c r="G59" s="291" t="str">
        <f t="shared" si="21"/>
        <v>Seg. Social e Impuestos Laborales</v>
      </c>
      <c r="H59" s="50">
        <f>SUM(H41:H58)*$D$59</f>
        <v>-625</v>
      </c>
      <c r="I59" s="39">
        <f aca="true" t="shared" si="23" ref="I59:S59">SUM(I41:I58)*$D$59</f>
        <v>-1375.0000000000002</v>
      </c>
      <c r="J59" s="39">
        <f t="shared" si="23"/>
        <v>-2625</v>
      </c>
      <c r="K59" s="39">
        <f t="shared" si="23"/>
        <v>-3500.0000000000005</v>
      </c>
      <c r="L59" s="39">
        <f t="shared" si="23"/>
        <v>-3500.0000000000005</v>
      </c>
      <c r="M59" s="39">
        <f t="shared" si="23"/>
        <v>-4750</v>
      </c>
      <c r="N59" s="39">
        <f t="shared" si="23"/>
        <v>-4750</v>
      </c>
      <c r="O59" s="39">
        <f t="shared" si="23"/>
        <v>-4750</v>
      </c>
      <c r="P59" s="39">
        <f t="shared" si="23"/>
        <v>-5700</v>
      </c>
      <c r="Q59" s="39">
        <f t="shared" si="23"/>
        <v>-6225</v>
      </c>
      <c r="R59" s="39">
        <f t="shared" si="23"/>
        <v>-6225</v>
      </c>
      <c r="S59" s="39">
        <f t="shared" si="23"/>
        <v>-6225</v>
      </c>
      <c r="T59" s="292">
        <f t="shared" si="20"/>
        <v>-50250</v>
      </c>
      <c r="U59" s="86"/>
      <c r="V59" s="87"/>
    </row>
    <row r="60" spans="1:22" ht="12">
      <c r="A60" s="140"/>
      <c r="B60" s="230"/>
      <c r="C60" s="230"/>
      <c r="D60" s="231"/>
      <c r="E60" s="169"/>
      <c r="F60" s="113"/>
      <c r="G60" s="293" t="str">
        <f>CONCATENATE("Total ",B38)</f>
        <v>Total Personal</v>
      </c>
      <c r="H60" s="51">
        <f aca="true" t="shared" si="24" ref="H60:S60">SUM(H41:H59)</f>
        <v>-2708.3333333333335</v>
      </c>
      <c r="I60" s="21">
        <f t="shared" si="24"/>
        <v>-5958.333333333334</v>
      </c>
      <c r="J60" s="21">
        <f t="shared" si="24"/>
        <v>-11375</v>
      </c>
      <c r="K60" s="21">
        <f t="shared" si="24"/>
        <v>-15166.666666666668</v>
      </c>
      <c r="L60" s="21">
        <f t="shared" si="24"/>
        <v>-15166.666666666668</v>
      </c>
      <c r="M60" s="21">
        <f t="shared" si="24"/>
        <v>-20583.333333333336</v>
      </c>
      <c r="N60" s="21">
        <f t="shared" si="24"/>
        <v>-20583.333333333336</v>
      </c>
      <c r="O60" s="21">
        <f t="shared" si="24"/>
        <v>-20583.333333333336</v>
      </c>
      <c r="P60" s="21">
        <f t="shared" si="24"/>
        <v>-24700</v>
      </c>
      <c r="Q60" s="21">
        <f t="shared" si="24"/>
        <v>-26975</v>
      </c>
      <c r="R60" s="21">
        <f t="shared" si="24"/>
        <v>-26975</v>
      </c>
      <c r="S60" s="21">
        <f t="shared" si="24"/>
        <v>-26975</v>
      </c>
      <c r="T60" s="294">
        <f t="shared" si="20"/>
        <v>-217750.00000000003</v>
      </c>
      <c r="U60" s="88"/>
      <c r="V60" s="89"/>
    </row>
    <row r="61" spans="1:22" ht="12">
      <c r="A61" s="133"/>
      <c r="B61" s="187" t="s">
        <v>2</v>
      </c>
      <c r="C61" s="187"/>
      <c r="D61" s="181"/>
      <c r="E61" s="151"/>
      <c r="F61" s="100"/>
      <c r="G61" s="256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295"/>
      <c r="U61" s="72"/>
      <c r="V61" s="56"/>
    </row>
    <row r="62" spans="1:22" ht="12">
      <c r="A62" s="219"/>
      <c r="B62" s="228" t="s">
        <v>18</v>
      </c>
      <c r="C62" s="228" t="s">
        <v>13</v>
      </c>
      <c r="D62" s="229" t="s">
        <v>14</v>
      </c>
      <c r="E62" s="220"/>
      <c r="F62" s="114"/>
      <c r="G62" s="241" t="str">
        <f>B61</f>
        <v>Marketing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242"/>
      <c r="U62" s="72"/>
      <c r="V62" s="56"/>
    </row>
    <row r="63" spans="1:22" ht="12">
      <c r="A63" s="196"/>
      <c r="B63" s="225" t="s">
        <v>3</v>
      </c>
      <c r="C63" s="224">
        <v>3000</v>
      </c>
      <c r="D63" s="224">
        <v>500</v>
      </c>
      <c r="E63" s="197"/>
      <c r="F63" s="103"/>
      <c r="G63" s="269" t="str">
        <f>B63</f>
        <v>SEM</v>
      </c>
      <c r="H63" s="22">
        <f>-$C63</f>
        <v>-3000</v>
      </c>
      <c r="I63" s="22">
        <f>H63-$D63</f>
        <v>-3500</v>
      </c>
      <c r="J63" s="22">
        <f aca="true" t="shared" si="25" ref="J63:S63">I63-$D63</f>
        <v>-4000</v>
      </c>
      <c r="K63" s="22">
        <f t="shared" si="25"/>
        <v>-4500</v>
      </c>
      <c r="L63" s="22">
        <f t="shared" si="25"/>
        <v>-5000</v>
      </c>
      <c r="M63" s="22">
        <f t="shared" si="25"/>
        <v>-5500</v>
      </c>
      <c r="N63" s="22">
        <f t="shared" si="25"/>
        <v>-6000</v>
      </c>
      <c r="O63" s="22">
        <f t="shared" si="25"/>
        <v>-6500</v>
      </c>
      <c r="P63" s="22">
        <f t="shared" si="25"/>
        <v>-7000</v>
      </c>
      <c r="Q63" s="22">
        <f t="shared" si="25"/>
        <v>-7500</v>
      </c>
      <c r="R63" s="22">
        <f t="shared" si="25"/>
        <v>-8000</v>
      </c>
      <c r="S63" s="22">
        <f t="shared" si="25"/>
        <v>-8500</v>
      </c>
      <c r="T63" s="250">
        <f>SUM(H63:S63)</f>
        <v>-69000</v>
      </c>
      <c r="U63" s="75"/>
      <c r="V63" s="54"/>
    </row>
    <row r="64" spans="1:22" s="19" customFormat="1" ht="12">
      <c r="A64" s="196"/>
      <c r="B64" s="225" t="s">
        <v>15</v>
      </c>
      <c r="C64" s="224">
        <v>2000</v>
      </c>
      <c r="D64" s="224">
        <v>0</v>
      </c>
      <c r="E64" s="197"/>
      <c r="F64" s="103"/>
      <c r="G64" s="269" t="str">
        <f>B64</f>
        <v>Facebook</v>
      </c>
      <c r="H64" s="22">
        <f>-$C64</f>
        <v>-2000</v>
      </c>
      <c r="I64" s="22">
        <f aca="true" t="shared" si="26" ref="I64:S65">H64-$D64</f>
        <v>-2000</v>
      </c>
      <c r="J64" s="22">
        <f t="shared" si="26"/>
        <v>-2000</v>
      </c>
      <c r="K64" s="22">
        <f t="shared" si="26"/>
        <v>-2000</v>
      </c>
      <c r="L64" s="22">
        <f t="shared" si="26"/>
        <v>-2000</v>
      </c>
      <c r="M64" s="22">
        <f t="shared" si="26"/>
        <v>-2000</v>
      </c>
      <c r="N64" s="22">
        <f t="shared" si="26"/>
        <v>-2000</v>
      </c>
      <c r="O64" s="22">
        <f t="shared" si="26"/>
        <v>-2000</v>
      </c>
      <c r="P64" s="22">
        <f t="shared" si="26"/>
        <v>-2000</v>
      </c>
      <c r="Q64" s="22">
        <f t="shared" si="26"/>
        <v>-2000</v>
      </c>
      <c r="R64" s="22">
        <f t="shared" si="26"/>
        <v>-2000</v>
      </c>
      <c r="S64" s="22">
        <f t="shared" si="26"/>
        <v>-2000</v>
      </c>
      <c r="T64" s="250">
        <f>SUM(H64:S64)</f>
        <v>-24000</v>
      </c>
      <c r="U64" s="75"/>
      <c r="V64" s="54"/>
    </row>
    <row r="65" spans="1:22" ht="12">
      <c r="A65" s="196"/>
      <c r="B65" s="225" t="s">
        <v>16</v>
      </c>
      <c r="C65" s="224">
        <v>0</v>
      </c>
      <c r="D65" s="224">
        <v>0</v>
      </c>
      <c r="E65" s="197"/>
      <c r="F65" s="103"/>
      <c r="G65" s="269" t="str">
        <f>B65</f>
        <v>Display Marketing</v>
      </c>
      <c r="H65" s="22">
        <f>-$C65</f>
        <v>0</v>
      </c>
      <c r="I65" s="22">
        <f t="shared" si="26"/>
        <v>0</v>
      </c>
      <c r="J65" s="22">
        <f t="shared" si="26"/>
        <v>0</v>
      </c>
      <c r="K65" s="22">
        <f t="shared" si="26"/>
        <v>0</v>
      </c>
      <c r="L65" s="22">
        <f t="shared" si="26"/>
        <v>0</v>
      </c>
      <c r="M65" s="22">
        <f t="shared" si="26"/>
        <v>0</v>
      </c>
      <c r="N65" s="22">
        <f t="shared" si="26"/>
        <v>0</v>
      </c>
      <c r="O65" s="22">
        <f t="shared" si="26"/>
        <v>0</v>
      </c>
      <c r="P65" s="22">
        <f t="shared" si="26"/>
        <v>0</v>
      </c>
      <c r="Q65" s="22">
        <f t="shared" si="26"/>
        <v>0</v>
      </c>
      <c r="R65" s="22">
        <f t="shared" si="26"/>
        <v>0</v>
      </c>
      <c r="S65" s="22">
        <f t="shared" si="26"/>
        <v>0</v>
      </c>
      <c r="T65" s="250">
        <f>SUM(H65:S65)</f>
        <v>0</v>
      </c>
      <c r="U65" s="75"/>
      <c r="V65" s="54"/>
    </row>
    <row r="66" spans="1:22" ht="12">
      <c r="A66" s="136"/>
      <c r="B66" s="221"/>
      <c r="C66" s="221"/>
      <c r="D66" s="180"/>
      <c r="E66" s="180"/>
      <c r="F66" s="106"/>
      <c r="G66" s="293" t="str">
        <f>CONCATENATE("Total ",B61)</f>
        <v>Total Marketing</v>
      </c>
      <c r="H66" s="21">
        <f>SUM(H63:H65)</f>
        <v>-5000</v>
      </c>
      <c r="I66" s="21">
        <f aca="true" t="shared" si="27" ref="I66:S66">SUM(I63:I65)</f>
        <v>-5500</v>
      </c>
      <c r="J66" s="21">
        <f t="shared" si="27"/>
        <v>-6000</v>
      </c>
      <c r="K66" s="21">
        <f t="shared" si="27"/>
        <v>-6500</v>
      </c>
      <c r="L66" s="21">
        <f t="shared" si="27"/>
        <v>-7000</v>
      </c>
      <c r="M66" s="21">
        <f t="shared" si="27"/>
        <v>-7500</v>
      </c>
      <c r="N66" s="21">
        <f t="shared" si="27"/>
        <v>-8000</v>
      </c>
      <c r="O66" s="21">
        <f t="shared" si="27"/>
        <v>-8500</v>
      </c>
      <c r="P66" s="21">
        <f t="shared" si="27"/>
        <v>-9000</v>
      </c>
      <c r="Q66" s="21">
        <f t="shared" si="27"/>
        <v>-9500</v>
      </c>
      <c r="R66" s="21">
        <f t="shared" si="27"/>
        <v>-10000</v>
      </c>
      <c r="S66" s="21">
        <f t="shared" si="27"/>
        <v>-10500</v>
      </c>
      <c r="T66" s="294">
        <f>SUM(H66:S66)</f>
        <v>-93000</v>
      </c>
      <c r="U66" s="80"/>
      <c r="V66" s="81"/>
    </row>
    <row r="67" spans="1:22" ht="12">
      <c r="A67" s="133"/>
      <c r="B67" s="187" t="s">
        <v>11</v>
      </c>
      <c r="C67" s="187"/>
      <c r="D67" s="181"/>
      <c r="E67" s="181"/>
      <c r="F67" s="100"/>
      <c r="G67" s="256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295"/>
      <c r="U67" s="72"/>
      <c r="V67" s="56"/>
    </row>
    <row r="68" spans="1:22" ht="12">
      <c r="A68" s="206"/>
      <c r="B68" s="334" t="s">
        <v>17</v>
      </c>
      <c r="C68" s="334"/>
      <c r="D68" s="224">
        <v>500</v>
      </c>
      <c r="E68" s="197"/>
      <c r="F68" s="100"/>
      <c r="G68" s="296" t="str">
        <f>CONCATENATE("Total ",B67)</f>
        <v>Total Hosting &amp; Web</v>
      </c>
      <c r="H68" s="21">
        <f>-$D68</f>
        <v>-500</v>
      </c>
      <c r="I68" s="21">
        <f aca="true" t="shared" si="28" ref="I68:S68">-$D68</f>
        <v>-500</v>
      </c>
      <c r="J68" s="21">
        <f t="shared" si="28"/>
        <v>-500</v>
      </c>
      <c r="K68" s="21">
        <f t="shared" si="28"/>
        <v>-500</v>
      </c>
      <c r="L68" s="21">
        <f t="shared" si="28"/>
        <v>-500</v>
      </c>
      <c r="M68" s="21">
        <f t="shared" si="28"/>
        <v>-500</v>
      </c>
      <c r="N68" s="21">
        <f t="shared" si="28"/>
        <v>-500</v>
      </c>
      <c r="O68" s="21">
        <f t="shared" si="28"/>
        <v>-500</v>
      </c>
      <c r="P68" s="21">
        <f t="shared" si="28"/>
        <v>-500</v>
      </c>
      <c r="Q68" s="21">
        <f t="shared" si="28"/>
        <v>-500</v>
      </c>
      <c r="R68" s="21">
        <f t="shared" si="28"/>
        <v>-500</v>
      </c>
      <c r="S68" s="21">
        <f t="shared" si="28"/>
        <v>-500</v>
      </c>
      <c r="T68" s="294">
        <f>SUM(H68:S68)</f>
        <v>-6000</v>
      </c>
      <c r="U68" s="80"/>
      <c r="V68" s="81"/>
    </row>
    <row r="69" spans="1:22" ht="12">
      <c r="A69" s="133"/>
      <c r="B69" s="187" t="s">
        <v>19</v>
      </c>
      <c r="C69" s="233"/>
      <c r="D69" s="234"/>
      <c r="E69" s="170"/>
      <c r="F69" s="100"/>
      <c r="G69" s="256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295"/>
      <c r="U69" s="72"/>
      <c r="V69" s="56"/>
    </row>
    <row r="70" spans="1:22" ht="12">
      <c r="A70" s="206"/>
      <c r="B70" s="334" t="s">
        <v>18</v>
      </c>
      <c r="C70" s="334"/>
      <c r="D70" s="235" t="s">
        <v>17</v>
      </c>
      <c r="E70" s="232"/>
      <c r="F70" s="101"/>
      <c r="G70" s="241" t="str">
        <f>B69</f>
        <v>Costes Generales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242"/>
      <c r="U70" s="72"/>
      <c r="V70" s="56"/>
    </row>
    <row r="71" spans="1:22" ht="12">
      <c r="A71" s="205"/>
      <c r="B71" s="335" t="s">
        <v>50</v>
      </c>
      <c r="C71" s="335"/>
      <c r="D71" s="224">
        <v>25</v>
      </c>
      <c r="E71" s="197"/>
      <c r="F71" s="100"/>
      <c r="G71" s="269" t="str">
        <f>B71</f>
        <v>Subcontrataciones (Diseñadores, desarrollo, etc)</v>
      </c>
      <c r="H71" s="22">
        <f>-$D71</f>
        <v>-25</v>
      </c>
      <c r="I71" s="22">
        <f aca="true" t="shared" si="29" ref="I71:S71">-$D71</f>
        <v>-25</v>
      </c>
      <c r="J71" s="22">
        <f t="shared" si="29"/>
        <v>-25</v>
      </c>
      <c r="K71" s="22">
        <f t="shared" si="29"/>
        <v>-25</v>
      </c>
      <c r="L71" s="22">
        <f t="shared" si="29"/>
        <v>-25</v>
      </c>
      <c r="M71" s="22">
        <f t="shared" si="29"/>
        <v>-25</v>
      </c>
      <c r="N71" s="22">
        <f t="shared" si="29"/>
        <v>-25</v>
      </c>
      <c r="O71" s="22">
        <f t="shared" si="29"/>
        <v>-25</v>
      </c>
      <c r="P71" s="22">
        <f t="shared" si="29"/>
        <v>-25</v>
      </c>
      <c r="Q71" s="22">
        <f t="shared" si="29"/>
        <v>-25</v>
      </c>
      <c r="R71" s="22">
        <f t="shared" si="29"/>
        <v>-25</v>
      </c>
      <c r="S71" s="22">
        <f t="shared" si="29"/>
        <v>-25</v>
      </c>
      <c r="T71" s="250">
        <f aca="true" t="shared" si="30" ref="T71:T78">SUM(H71:S71)</f>
        <v>-300</v>
      </c>
      <c r="U71" s="72"/>
      <c r="V71" s="56"/>
    </row>
    <row r="72" spans="1:22" ht="12">
      <c r="A72" s="205"/>
      <c r="B72" s="335" t="s">
        <v>20</v>
      </c>
      <c r="C72" s="335"/>
      <c r="D72" s="224">
        <v>1000</v>
      </c>
      <c r="E72" s="197"/>
      <c r="F72" s="100"/>
      <c r="G72" s="269" t="str">
        <f aca="true" t="shared" si="31" ref="G72:G77">B72</f>
        <v>Costes de Abogado </v>
      </c>
      <c r="H72" s="22">
        <f aca="true" t="shared" si="32" ref="H72:S77">-$D72</f>
        <v>-1000</v>
      </c>
      <c r="I72" s="22">
        <f t="shared" si="32"/>
        <v>-1000</v>
      </c>
      <c r="J72" s="22">
        <f t="shared" si="32"/>
        <v>-1000</v>
      </c>
      <c r="K72" s="22">
        <f t="shared" si="32"/>
        <v>-1000</v>
      </c>
      <c r="L72" s="22">
        <f t="shared" si="32"/>
        <v>-1000</v>
      </c>
      <c r="M72" s="22">
        <f t="shared" si="32"/>
        <v>-1000</v>
      </c>
      <c r="N72" s="22">
        <f t="shared" si="32"/>
        <v>-1000</v>
      </c>
      <c r="O72" s="22">
        <f t="shared" si="32"/>
        <v>-1000</v>
      </c>
      <c r="P72" s="22">
        <f t="shared" si="32"/>
        <v>-1000</v>
      </c>
      <c r="Q72" s="22">
        <f t="shared" si="32"/>
        <v>-1000</v>
      </c>
      <c r="R72" s="22">
        <f t="shared" si="32"/>
        <v>-1000</v>
      </c>
      <c r="S72" s="22">
        <f t="shared" si="32"/>
        <v>-1000</v>
      </c>
      <c r="T72" s="250">
        <f t="shared" si="30"/>
        <v>-12000</v>
      </c>
      <c r="U72" s="72"/>
      <c r="V72" s="56"/>
    </row>
    <row r="73" spans="1:22" ht="12">
      <c r="A73" s="205"/>
      <c r="B73" s="335" t="s">
        <v>21</v>
      </c>
      <c r="C73" s="335"/>
      <c r="D73" s="224">
        <v>1000</v>
      </c>
      <c r="E73" s="197"/>
      <c r="F73" s="100"/>
      <c r="G73" s="269" t="str">
        <f t="shared" si="31"/>
        <v>Gastos de Viaje</v>
      </c>
      <c r="H73" s="22">
        <f t="shared" si="32"/>
        <v>-1000</v>
      </c>
      <c r="I73" s="22">
        <f t="shared" si="32"/>
        <v>-1000</v>
      </c>
      <c r="J73" s="22">
        <f t="shared" si="32"/>
        <v>-1000</v>
      </c>
      <c r="K73" s="22">
        <f t="shared" si="32"/>
        <v>-1000</v>
      </c>
      <c r="L73" s="22">
        <f t="shared" si="32"/>
        <v>-1000</v>
      </c>
      <c r="M73" s="22">
        <f t="shared" si="32"/>
        <v>-1000</v>
      </c>
      <c r="N73" s="22">
        <f t="shared" si="32"/>
        <v>-1000</v>
      </c>
      <c r="O73" s="22">
        <f t="shared" si="32"/>
        <v>-1000</v>
      </c>
      <c r="P73" s="22">
        <f t="shared" si="32"/>
        <v>-1000</v>
      </c>
      <c r="Q73" s="22">
        <f t="shared" si="32"/>
        <v>-1000</v>
      </c>
      <c r="R73" s="22">
        <f t="shared" si="32"/>
        <v>-1000</v>
      </c>
      <c r="S73" s="22">
        <f t="shared" si="32"/>
        <v>-1000</v>
      </c>
      <c r="T73" s="250">
        <f t="shared" si="30"/>
        <v>-12000</v>
      </c>
      <c r="U73" s="72"/>
      <c r="V73" s="56"/>
    </row>
    <row r="74" spans="1:22" ht="12">
      <c r="A74" s="205"/>
      <c r="B74" s="335" t="s">
        <v>22</v>
      </c>
      <c r="C74" s="335"/>
      <c r="D74" s="224">
        <v>1000</v>
      </c>
      <c r="E74" s="197"/>
      <c r="F74" s="100"/>
      <c r="G74" s="269" t="str">
        <f t="shared" si="31"/>
        <v>Alquiler de Oficinas</v>
      </c>
      <c r="H74" s="22">
        <f t="shared" si="32"/>
        <v>-1000</v>
      </c>
      <c r="I74" s="22">
        <f t="shared" si="32"/>
        <v>-1000</v>
      </c>
      <c r="J74" s="22">
        <f t="shared" si="32"/>
        <v>-1000</v>
      </c>
      <c r="K74" s="22">
        <f t="shared" si="32"/>
        <v>-1000</v>
      </c>
      <c r="L74" s="22">
        <f t="shared" si="32"/>
        <v>-1000</v>
      </c>
      <c r="M74" s="22">
        <f t="shared" si="32"/>
        <v>-1000</v>
      </c>
      <c r="N74" s="22">
        <f t="shared" si="32"/>
        <v>-1000</v>
      </c>
      <c r="O74" s="22">
        <f t="shared" si="32"/>
        <v>-1000</v>
      </c>
      <c r="P74" s="22">
        <f t="shared" si="32"/>
        <v>-1000</v>
      </c>
      <c r="Q74" s="22">
        <f t="shared" si="32"/>
        <v>-1000</v>
      </c>
      <c r="R74" s="22">
        <f t="shared" si="32"/>
        <v>-1000</v>
      </c>
      <c r="S74" s="22">
        <f t="shared" si="32"/>
        <v>-1000</v>
      </c>
      <c r="T74" s="250">
        <f t="shared" si="30"/>
        <v>-12000</v>
      </c>
      <c r="U74" s="72"/>
      <c r="V74" s="56"/>
    </row>
    <row r="75" spans="1:22" ht="12">
      <c r="A75" s="205"/>
      <c r="B75" s="335" t="s">
        <v>23</v>
      </c>
      <c r="C75" s="335"/>
      <c r="D75" s="224">
        <v>1000</v>
      </c>
      <c r="E75" s="197"/>
      <c r="F75" s="100"/>
      <c r="G75" s="269" t="str">
        <f t="shared" si="31"/>
        <v>Telefónía y gastos de oficina</v>
      </c>
      <c r="H75" s="22">
        <f t="shared" si="32"/>
        <v>-1000</v>
      </c>
      <c r="I75" s="22">
        <f t="shared" si="32"/>
        <v>-1000</v>
      </c>
      <c r="J75" s="22">
        <f t="shared" si="32"/>
        <v>-1000</v>
      </c>
      <c r="K75" s="22">
        <f t="shared" si="32"/>
        <v>-1000</v>
      </c>
      <c r="L75" s="22">
        <f t="shared" si="32"/>
        <v>-1000</v>
      </c>
      <c r="M75" s="22">
        <f t="shared" si="32"/>
        <v>-1000</v>
      </c>
      <c r="N75" s="22">
        <f t="shared" si="32"/>
        <v>-1000</v>
      </c>
      <c r="O75" s="22">
        <f t="shared" si="32"/>
        <v>-1000</v>
      </c>
      <c r="P75" s="22">
        <f t="shared" si="32"/>
        <v>-1000</v>
      </c>
      <c r="Q75" s="22">
        <f t="shared" si="32"/>
        <v>-1000</v>
      </c>
      <c r="R75" s="22">
        <f t="shared" si="32"/>
        <v>-1000</v>
      </c>
      <c r="S75" s="22">
        <f t="shared" si="32"/>
        <v>-1000</v>
      </c>
      <c r="T75" s="250">
        <f t="shared" si="30"/>
        <v>-12000</v>
      </c>
      <c r="U75" s="72"/>
      <c r="V75" s="56"/>
    </row>
    <row r="76" spans="1:22" ht="12">
      <c r="A76" s="205"/>
      <c r="B76" s="335" t="s">
        <v>24</v>
      </c>
      <c r="C76" s="335"/>
      <c r="D76" s="224">
        <v>1000</v>
      </c>
      <c r="E76" s="197"/>
      <c r="F76" s="100"/>
      <c r="G76" s="269" t="str">
        <f t="shared" si="31"/>
        <v>Seguros</v>
      </c>
      <c r="H76" s="22">
        <f t="shared" si="32"/>
        <v>-1000</v>
      </c>
      <c r="I76" s="22">
        <f t="shared" si="32"/>
        <v>-1000</v>
      </c>
      <c r="J76" s="22">
        <f t="shared" si="32"/>
        <v>-1000</v>
      </c>
      <c r="K76" s="22">
        <f t="shared" si="32"/>
        <v>-1000</v>
      </c>
      <c r="L76" s="22">
        <f t="shared" si="32"/>
        <v>-1000</v>
      </c>
      <c r="M76" s="22">
        <f t="shared" si="32"/>
        <v>-1000</v>
      </c>
      <c r="N76" s="22">
        <f t="shared" si="32"/>
        <v>-1000</v>
      </c>
      <c r="O76" s="22">
        <f t="shared" si="32"/>
        <v>-1000</v>
      </c>
      <c r="P76" s="22">
        <f t="shared" si="32"/>
        <v>-1000</v>
      </c>
      <c r="Q76" s="22">
        <f t="shared" si="32"/>
        <v>-1000</v>
      </c>
      <c r="R76" s="22">
        <f t="shared" si="32"/>
        <v>-1000</v>
      </c>
      <c r="S76" s="22">
        <f t="shared" si="32"/>
        <v>-1000</v>
      </c>
      <c r="T76" s="250">
        <f t="shared" si="30"/>
        <v>-12000</v>
      </c>
      <c r="U76" s="75"/>
      <c r="V76" s="54"/>
    </row>
    <row r="77" spans="1:22" ht="12">
      <c r="A77" s="205"/>
      <c r="B77" s="335" t="s">
        <v>25</v>
      </c>
      <c r="C77" s="335"/>
      <c r="D77" s="224">
        <v>1000</v>
      </c>
      <c r="E77" s="197"/>
      <c r="F77" s="100"/>
      <c r="G77" s="269" t="str">
        <f t="shared" si="31"/>
        <v>Otros</v>
      </c>
      <c r="H77" s="22">
        <f t="shared" si="32"/>
        <v>-1000</v>
      </c>
      <c r="I77" s="22">
        <f t="shared" si="32"/>
        <v>-1000</v>
      </c>
      <c r="J77" s="22">
        <f t="shared" si="32"/>
        <v>-1000</v>
      </c>
      <c r="K77" s="22">
        <f t="shared" si="32"/>
        <v>-1000</v>
      </c>
      <c r="L77" s="22">
        <f t="shared" si="32"/>
        <v>-1000</v>
      </c>
      <c r="M77" s="22">
        <f t="shared" si="32"/>
        <v>-1000</v>
      </c>
      <c r="N77" s="22">
        <f t="shared" si="32"/>
        <v>-1000</v>
      </c>
      <c r="O77" s="22">
        <f t="shared" si="32"/>
        <v>-1000</v>
      </c>
      <c r="P77" s="22">
        <f t="shared" si="32"/>
        <v>-1000</v>
      </c>
      <c r="Q77" s="22">
        <f t="shared" si="32"/>
        <v>-1000</v>
      </c>
      <c r="R77" s="22">
        <f t="shared" si="32"/>
        <v>-1000</v>
      </c>
      <c r="S77" s="22">
        <f t="shared" si="32"/>
        <v>-1000</v>
      </c>
      <c r="T77" s="250">
        <f t="shared" si="30"/>
        <v>-12000</v>
      </c>
      <c r="U77" s="72"/>
      <c r="V77" s="56"/>
    </row>
    <row r="78" spans="1:22" ht="12">
      <c r="A78" s="134"/>
      <c r="B78" s="146"/>
      <c r="C78" s="147"/>
      <c r="D78" s="148"/>
      <c r="E78" s="149"/>
      <c r="F78" s="101"/>
      <c r="G78" s="293" t="str">
        <f>CONCATENATE("Total ",B69)</f>
        <v>Total Costes Generales</v>
      </c>
      <c r="H78" s="21">
        <f aca="true" t="shared" si="33" ref="H78:S78">SUM(H71:H77)</f>
        <v>-6025</v>
      </c>
      <c r="I78" s="21">
        <f t="shared" si="33"/>
        <v>-6025</v>
      </c>
      <c r="J78" s="21">
        <f t="shared" si="33"/>
        <v>-6025</v>
      </c>
      <c r="K78" s="21">
        <f t="shared" si="33"/>
        <v>-6025</v>
      </c>
      <c r="L78" s="21">
        <f t="shared" si="33"/>
        <v>-6025</v>
      </c>
      <c r="M78" s="21">
        <f t="shared" si="33"/>
        <v>-6025</v>
      </c>
      <c r="N78" s="21">
        <f t="shared" si="33"/>
        <v>-6025</v>
      </c>
      <c r="O78" s="21">
        <f t="shared" si="33"/>
        <v>-6025</v>
      </c>
      <c r="P78" s="21">
        <f t="shared" si="33"/>
        <v>-6025</v>
      </c>
      <c r="Q78" s="21">
        <f t="shared" si="33"/>
        <v>-6025</v>
      </c>
      <c r="R78" s="21">
        <f t="shared" si="33"/>
        <v>-6025</v>
      </c>
      <c r="S78" s="21">
        <f t="shared" si="33"/>
        <v>-6025</v>
      </c>
      <c r="T78" s="294">
        <f t="shared" si="30"/>
        <v>-72300</v>
      </c>
      <c r="U78" s="80"/>
      <c r="V78" s="81"/>
    </row>
    <row r="79" spans="1:22" ht="12">
      <c r="A79" s="133"/>
      <c r="B79" s="146"/>
      <c r="C79" s="147"/>
      <c r="D79" s="150"/>
      <c r="E79" s="151"/>
      <c r="F79" s="100"/>
      <c r="G79" s="256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295"/>
      <c r="U79" s="72"/>
      <c r="V79" s="56"/>
    </row>
    <row r="80" spans="1:22" ht="12">
      <c r="A80" s="134"/>
      <c r="B80" s="146"/>
      <c r="C80" s="152"/>
      <c r="D80" s="148"/>
      <c r="E80" s="149"/>
      <c r="F80" s="101"/>
      <c r="G80" s="274" t="str">
        <f>CONCATENATE("TOTAL ",G37)</f>
        <v>TOTAL COSTES</v>
      </c>
      <c r="H80" s="21">
        <f aca="true" t="shared" si="34" ref="H80:S80">((H60+H66)+H68)+H78</f>
        <v>-14233.333333333334</v>
      </c>
      <c r="I80" s="21">
        <f t="shared" si="34"/>
        <v>-17983.333333333336</v>
      </c>
      <c r="J80" s="21">
        <f t="shared" si="34"/>
        <v>-23900</v>
      </c>
      <c r="K80" s="21">
        <f t="shared" si="34"/>
        <v>-28191.666666666668</v>
      </c>
      <c r="L80" s="21">
        <f t="shared" si="34"/>
        <v>-28691.666666666668</v>
      </c>
      <c r="M80" s="21">
        <f t="shared" si="34"/>
        <v>-34608.333333333336</v>
      </c>
      <c r="N80" s="21">
        <f t="shared" si="34"/>
        <v>-35108.333333333336</v>
      </c>
      <c r="O80" s="21">
        <f t="shared" si="34"/>
        <v>-35608.333333333336</v>
      </c>
      <c r="P80" s="21">
        <f t="shared" si="34"/>
        <v>-40225</v>
      </c>
      <c r="Q80" s="21">
        <f t="shared" si="34"/>
        <v>-43000</v>
      </c>
      <c r="R80" s="21">
        <f t="shared" si="34"/>
        <v>-43500</v>
      </c>
      <c r="S80" s="21">
        <f t="shared" si="34"/>
        <v>-44000</v>
      </c>
      <c r="T80" s="294">
        <f>SUM(H80:S80)</f>
        <v>-389050</v>
      </c>
      <c r="U80" s="72"/>
      <c r="V80" s="56"/>
    </row>
    <row r="81" spans="1:22" ht="12">
      <c r="A81" s="134"/>
      <c r="B81" s="146"/>
      <c r="C81" s="152"/>
      <c r="D81" s="148"/>
      <c r="E81" s="149"/>
      <c r="F81" s="101"/>
      <c r="G81" s="297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4"/>
      <c r="T81" s="298"/>
      <c r="U81" s="72"/>
      <c r="V81" s="56"/>
    </row>
    <row r="82" spans="1:22" ht="12">
      <c r="A82" s="141"/>
      <c r="B82" s="146"/>
      <c r="C82" s="146"/>
      <c r="D82" s="153"/>
      <c r="E82" s="154"/>
      <c r="F82" s="115"/>
      <c r="G82" s="299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6"/>
      <c r="T82" s="300"/>
      <c r="U82" s="90"/>
      <c r="V82" s="91"/>
    </row>
    <row r="83" spans="1:22" ht="12.75">
      <c r="A83" s="142"/>
      <c r="B83" s="147"/>
      <c r="C83" s="155"/>
      <c r="D83" s="156"/>
      <c r="E83" s="157"/>
      <c r="F83" s="116"/>
      <c r="G83" s="301" t="s">
        <v>35</v>
      </c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302"/>
      <c r="U83" s="72"/>
      <c r="V83" s="56"/>
    </row>
    <row r="84" spans="1:22" s="30" customFormat="1" ht="12">
      <c r="A84" s="141"/>
      <c r="B84" s="146"/>
      <c r="C84" s="146"/>
      <c r="D84" s="153"/>
      <c r="E84" s="154"/>
      <c r="F84" s="115"/>
      <c r="G84" s="303"/>
      <c r="H84" s="98">
        <f>H3</f>
        <v>43831</v>
      </c>
      <c r="I84" s="98">
        <f aca="true" t="shared" si="35" ref="I84:S84">I3</f>
        <v>43862</v>
      </c>
      <c r="J84" s="98">
        <f t="shared" si="35"/>
        <v>43891</v>
      </c>
      <c r="K84" s="98">
        <f t="shared" si="35"/>
        <v>43922</v>
      </c>
      <c r="L84" s="98">
        <f t="shared" si="35"/>
        <v>43952</v>
      </c>
      <c r="M84" s="98">
        <f t="shared" si="35"/>
        <v>43983</v>
      </c>
      <c r="N84" s="98">
        <f t="shared" si="35"/>
        <v>44013</v>
      </c>
      <c r="O84" s="98">
        <f t="shared" si="35"/>
        <v>44044</v>
      </c>
      <c r="P84" s="98">
        <f t="shared" si="35"/>
        <v>44075</v>
      </c>
      <c r="Q84" s="98">
        <f t="shared" si="35"/>
        <v>44105</v>
      </c>
      <c r="R84" s="98">
        <f t="shared" si="35"/>
        <v>44136</v>
      </c>
      <c r="S84" s="98">
        <f t="shared" si="35"/>
        <v>44166</v>
      </c>
      <c r="T84" s="304" t="str">
        <f>T3</f>
        <v>Total 2020</v>
      </c>
      <c r="U84" s="90"/>
      <c r="V84" s="91"/>
    </row>
    <row r="85" spans="1:22" ht="12">
      <c r="A85" s="141"/>
      <c r="B85" s="146"/>
      <c r="C85" s="146"/>
      <c r="D85" s="153"/>
      <c r="E85" s="154"/>
      <c r="F85" s="115"/>
      <c r="G85" s="303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305"/>
      <c r="U85" s="90"/>
      <c r="V85" s="91"/>
    </row>
    <row r="86" spans="1:22" ht="12">
      <c r="A86" s="141"/>
      <c r="B86" s="146"/>
      <c r="C86" s="146"/>
      <c r="D86" s="153"/>
      <c r="E86" s="154"/>
      <c r="F86" s="115"/>
      <c r="G86" s="306" t="s">
        <v>33</v>
      </c>
      <c r="H86" s="34">
        <f aca="true" t="shared" si="36" ref="H86:S86">H31</f>
        <v>300</v>
      </c>
      <c r="I86" s="34">
        <f t="shared" si="36"/>
        <v>1850</v>
      </c>
      <c r="J86" s="34">
        <f t="shared" si="36"/>
        <v>5100</v>
      </c>
      <c r="K86" s="34">
        <f t="shared" si="36"/>
        <v>8750</v>
      </c>
      <c r="L86" s="34">
        <f t="shared" si="36"/>
        <v>12850</v>
      </c>
      <c r="M86" s="34">
        <f t="shared" si="36"/>
        <v>17450</v>
      </c>
      <c r="N86" s="34">
        <f t="shared" si="36"/>
        <v>22600</v>
      </c>
      <c r="O86" s="34">
        <f t="shared" si="36"/>
        <v>28350</v>
      </c>
      <c r="P86" s="34">
        <f t="shared" si="36"/>
        <v>34850</v>
      </c>
      <c r="Q86" s="34">
        <f t="shared" si="36"/>
        <v>42150</v>
      </c>
      <c r="R86" s="34">
        <f t="shared" si="36"/>
        <v>50350</v>
      </c>
      <c r="S86" s="34">
        <f t="shared" si="36"/>
        <v>59650</v>
      </c>
      <c r="T86" s="307">
        <f>SUM(H86:S86)</f>
        <v>284250</v>
      </c>
      <c r="U86" s="90"/>
      <c r="V86" s="91"/>
    </row>
    <row r="87" spans="1:22" ht="12">
      <c r="A87" s="141"/>
      <c r="B87" s="146"/>
      <c r="C87" s="146"/>
      <c r="D87" s="153"/>
      <c r="E87" s="154"/>
      <c r="F87" s="115"/>
      <c r="G87" s="303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305"/>
      <c r="U87" s="90"/>
      <c r="V87" s="91"/>
    </row>
    <row r="88" spans="1:22" ht="12">
      <c r="A88" s="141"/>
      <c r="B88" s="146"/>
      <c r="C88" s="146"/>
      <c r="D88" s="153"/>
      <c r="E88" s="154"/>
      <c r="F88" s="115"/>
      <c r="G88" s="306" t="s">
        <v>37</v>
      </c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305"/>
      <c r="U88" s="90"/>
      <c r="V88" s="91"/>
    </row>
    <row r="89" spans="1:22" ht="12">
      <c r="A89" s="141"/>
      <c r="B89" s="146"/>
      <c r="C89" s="146"/>
      <c r="D89" s="153"/>
      <c r="E89" s="154"/>
      <c r="F89" s="115"/>
      <c r="G89" s="308" t="str">
        <f>G32</f>
        <v>Comisiones Bancos por pagos</v>
      </c>
      <c r="H89" s="35">
        <f aca="true" t="shared" si="37" ref="H89:S89">H32</f>
        <v>-9</v>
      </c>
      <c r="I89" s="35">
        <f t="shared" si="37"/>
        <v>-55.5</v>
      </c>
      <c r="J89" s="35">
        <f t="shared" si="37"/>
        <v>-153</v>
      </c>
      <c r="K89" s="35">
        <f t="shared" si="37"/>
        <v>-262.5</v>
      </c>
      <c r="L89" s="35">
        <f t="shared" si="37"/>
        <v>-385.5</v>
      </c>
      <c r="M89" s="35">
        <f t="shared" si="37"/>
        <v>-523.5</v>
      </c>
      <c r="N89" s="35">
        <f t="shared" si="37"/>
        <v>-678</v>
      </c>
      <c r="O89" s="35">
        <f t="shared" si="37"/>
        <v>-850.5</v>
      </c>
      <c r="P89" s="35">
        <f t="shared" si="37"/>
        <v>-1045.5</v>
      </c>
      <c r="Q89" s="35">
        <f t="shared" si="37"/>
        <v>-1264.5</v>
      </c>
      <c r="R89" s="35">
        <f t="shared" si="37"/>
        <v>-1510.5</v>
      </c>
      <c r="S89" s="35">
        <f t="shared" si="37"/>
        <v>-1789.5</v>
      </c>
      <c r="T89" s="309">
        <f>SUM(H89:S89)</f>
        <v>-8527.5</v>
      </c>
      <c r="U89" s="90"/>
      <c r="V89" s="91"/>
    </row>
    <row r="90" spans="1:22" ht="12">
      <c r="A90" s="141"/>
      <c r="B90" s="146"/>
      <c r="C90" s="146"/>
      <c r="D90" s="153"/>
      <c r="E90" s="154"/>
      <c r="F90" s="115"/>
      <c r="G90" s="308" t="str">
        <f>B67</f>
        <v>Hosting &amp; Web</v>
      </c>
      <c r="H90" s="35">
        <f aca="true" t="shared" si="38" ref="H90:S90">H68</f>
        <v>-500</v>
      </c>
      <c r="I90" s="35">
        <f t="shared" si="38"/>
        <v>-500</v>
      </c>
      <c r="J90" s="35">
        <f t="shared" si="38"/>
        <v>-500</v>
      </c>
      <c r="K90" s="35">
        <f t="shared" si="38"/>
        <v>-500</v>
      </c>
      <c r="L90" s="35">
        <f t="shared" si="38"/>
        <v>-500</v>
      </c>
      <c r="M90" s="35">
        <f t="shared" si="38"/>
        <v>-500</v>
      </c>
      <c r="N90" s="35">
        <f t="shared" si="38"/>
        <v>-500</v>
      </c>
      <c r="O90" s="35">
        <f t="shared" si="38"/>
        <v>-500</v>
      </c>
      <c r="P90" s="35">
        <f t="shared" si="38"/>
        <v>-500</v>
      </c>
      <c r="Q90" s="35">
        <f t="shared" si="38"/>
        <v>-500</v>
      </c>
      <c r="R90" s="35">
        <f t="shared" si="38"/>
        <v>-500</v>
      </c>
      <c r="S90" s="35">
        <f t="shared" si="38"/>
        <v>-500</v>
      </c>
      <c r="T90" s="309">
        <f>SUM(H90:S90)</f>
        <v>-6000</v>
      </c>
      <c r="U90" s="90"/>
      <c r="V90" s="91"/>
    </row>
    <row r="91" spans="1:22" s="30" customFormat="1" ht="12">
      <c r="A91" s="141"/>
      <c r="B91" s="146"/>
      <c r="C91" s="146"/>
      <c r="D91" s="153"/>
      <c r="E91" s="154"/>
      <c r="F91" s="115"/>
      <c r="G91" s="310" t="s">
        <v>46</v>
      </c>
      <c r="H91" s="35">
        <f>SUM(H46:H47)*((1+$D$59))</f>
        <v>0</v>
      </c>
      <c r="I91" s="35">
        <f aca="true" t="shared" si="39" ref="I91:S91">SUM(I46:I47)*((1+$D$59))</f>
        <v>0</v>
      </c>
      <c r="J91" s="35">
        <f t="shared" si="39"/>
        <v>0</v>
      </c>
      <c r="K91" s="35">
        <f t="shared" si="39"/>
        <v>0</v>
      </c>
      <c r="L91" s="35">
        <f t="shared" si="39"/>
        <v>0</v>
      </c>
      <c r="M91" s="35">
        <f t="shared" si="39"/>
        <v>-2708.3333333333335</v>
      </c>
      <c r="N91" s="35">
        <f t="shared" si="39"/>
        <v>-2708.3333333333335</v>
      </c>
      <c r="O91" s="35">
        <f t="shared" si="39"/>
        <v>-2708.3333333333335</v>
      </c>
      <c r="P91" s="35">
        <f t="shared" si="39"/>
        <v>-4875</v>
      </c>
      <c r="Q91" s="35">
        <f t="shared" si="39"/>
        <v>-4875</v>
      </c>
      <c r="R91" s="35">
        <f t="shared" si="39"/>
        <v>-4875</v>
      </c>
      <c r="S91" s="35">
        <f t="shared" si="39"/>
        <v>-4875</v>
      </c>
      <c r="T91" s="309">
        <f>SUM(H91:S91)</f>
        <v>-27625</v>
      </c>
      <c r="U91" s="90"/>
      <c r="V91" s="91"/>
    </row>
    <row r="92" spans="1:22" ht="12">
      <c r="A92" s="133"/>
      <c r="B92" s="147"/>
      <c r="C92" s="147"/>
      <c r="D92" s="150"/>
      <c r="E92" s="151"/>
      <c r="F92" s="100"/>
      <c r="G92" s="311" t="str">
        <f>CONCATENATE("Total ",G88)</f>
        <v>Total Costes Operativos</v>
      </c>
      <c r="H92" s="34">
        <f>SUM(H89:H91)</f>
        <v>-509</v>
      </c>
      <c r="I92" s="34">
        <f aca="true" t="shared" si="40" ref="I92:S92">SUM(I89:I91)</f>
        <v>-555.5</v>
      </c>
      <c r="J92" s="34">
        <f t="shared" si="40"/>
        <v>-653</v>
      </c>
      <c r="K92" s="34">
        <f t="shared" si="40"/>
        <v>-762.5</v>
      </c>
      <c r="L92" s="34">
        <f t="shared" si="40"/>
        <v>-885.5</v>
      </c>
      <c r="M92" s="34">
        <f t="shared" si="40"/>
        <v>-3731.8333333333335</v>
      </c>
      <c r="N92" s="34">
        <f t="shared" si="40"/>
        <v>-3886.3333333333335</v>
      </c>
      <c r="O92" s="34">
        <f t="shared" si="40"/>
        <v>-4058.8333333333335</v>
      </c>
      <c r="P92" s="34">
        <f t="shared" si="40"/>
        <v>-6420.5</v>
      </c>
      <c r="Q92" s="34">
        <f t="shared" si="40"/>
        <v>-6639.5</v>
      </c>
      <c r="R92" s="34">
        <f t="shared" si="40"/>
        <v>-6885.5</v>
      </c>
      <c r="S92" s="34">
        <f t="shared" si="40"/>
        <v>-7164.5</v>
      </c>
      <c r="T92" s="307">
        <f>SUM(H92:S92)</f>
        <v>-42152.5</v>
      </c>
      <c r="U92" s="72"/>
      <c r="V92" s="56"/>
    </row>
    <row r="93" spans="1:22" ht="12">
      <c r="A93" s="133"/>
      <c r="B93" s="147"/>
      <c r="C93" s="147"/>
      <c r="D93" s="150"/>
      <c r="E93" s="151"/>
      <c r="F93" s="100"/>
      <c r="G93" s="312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13"/>
      <c r="U93" s="75"/>
      <c r="V93" s="54"/>
    </row>
    <row r="94" spans="1:22" ht="12">
      <c r="A94" s="133"/>
      <c r="B94" s="147"/>
      <c r="C94" s="147"/>
      <c r="D94" s="150"/>
      <c r="E94" s="151"/>
      <c r="F94" s="100"/>
      <c r="G94" s="274" t="s">
        <v>36</v>
      </c>
      <c r="H94" s="33">
        <f aca="true" t="shared" si="41" ref="H94:S94">H86+H92</f>
        <v>-209</v>
      </c>
      <c r="I94" s="33">
        <f t="shared" si="41"/>
        <v>1294.5</v>
      </c>
      <c r="J94" s="33">
        <f t="shared" si="41"/>
        <v>4447</v>
      </c>
      <c r="K94" s="33">
        <f t="shared" si="41"/>
        <v>7987.5</v>
      </c>
      <c r="L94" s="33">
        <f t="shared" si="41"/>
        <v>11964.5</v>
      </c>
      <c r="M94" s="33">
        <f t="shared" si="41"/>
        <v>13718.166666666666</v>
      </c>
      <c r="N94" s="33">
        <f t="shared" si="41"/>
        <v>18713.666666666668</v>
      </c>
      <c r="O94" s="33">
        <f t="shared" si="41"/>
        <v>24291.166666666668</v>
      </c>
      <c r="P94" s="33">
        <f t="shared" si="41"/>
        <v>28429.5</v>
      </c>
      <c r="Q94" s="33">
        <f t="shared" si="41"/>
        <v>35510.5</v>
      </c>
      <c r="R94" s="33">
        <f t="shared" si="41"/>
        <v>43464.5</v>
      </c>
      <c r="S94" s="33">
        <f t="shared" si="41"/>
        <v>52485.5</v>
      </c>
      <c r="T94" s="275">
        <f>SUM(H94:S94)</f>
        <v>242097.5</v>
      </c>
      <c r="U94" s="72"/>
      <c r="V94" s="56"/>
    </row>
    <row r="95" spans="1:22" ht="12">
      <c r="A95" s="133"/>
      <c r="B95" s="147"/>
      <c r="C95" s="147"/>
      <c r="D95" s="150"/>
      <c r="E95" s="151"/>
      <c r="F95" s="100"/>
      <c r="G95" s="276" t="s">
        <v>38</v>
      </c>
      <c r="H95" s="7"/>
      <c r="I95" s="7">
        <f aca="true" t="shared" si="42" ref="I95:T95">I94/I86</f>
        <v>0.6997297297297297</v>
      </c>
      <c r="J95" s="7">
        <f t="shared" si="42"/>
        <v>0.8719607843137255</v>
      </c>
      <c r="K95" s="7">
        <f t="shared" si="42"/>
        <v>0.9128571428571428</v>
      </c>
      <c r="L95" s="7">
        <f t="shared" si="42"/>
        <v>0.9310894941634241</v>
      </c>
      <c r="M95" s="7">
        <f t="shared" si="42"/>
        <v>0.7861413562559694</v>
      </c>
      <c r="N95" s="7">
        <f t="shared" si="42"/>
        <v>0.8280383480825959</v>
      </c>
      <c r="O95" s="7">
        <f t="shared" si="42"/>
        <v>0.8568312757201646</v>
      </c>
      <c r="P95" s="7">
        <f t="shared" si="42"/>
        <v>0.8157675753228121</v>
      </c>
      <c r="Q95" s="7">
        <f t="shared" si="42"/>
        <v>0.8424792408066429</v>
      </c>
      <c r="R95" s="7">
        <f t="shared" si="42"/>
        <v>0.8632472691161867</v>
      </c>
      <c r="S95" s="7">
        <f t="shared" si="42"/>
        <v>0.8798910310142498</v>
      </c>
      <c r="T95" s="314">
        <f t="shared" si="42"/>
        <v>0.8517062445030783</v>
      </c>
      <c r="U95" s="75"/>
      <c r="V95" s="54"/>
    </row>
    <row r="96" spans="1:22" ht="12">
      <c r="A96" s="133"/>
      <c r="B96" s="147"/>
      <c r="C96" s="147"/>
      <c r="D96" s="150"/>
      <c r="E96" s="151"/>
      <c r="F96" s="100"/>
      <c r="G96" s="280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281"/>
      <c r="U96" s="75"/>
      <c r="V96" s="54"/>
    </row>
    <row r="97" spans="1:22" ht="12">
      <c r="A97" s="133"/>
      <c r="B97" s="147"/>
      <c r="C97" s="147"/>
      <c r="D97" s="150"/>
      <c r="E97" s="151"/>
      <c r="F97" s="100"/>
      <c r="G97" s="315" t="s">
        <v>48</v>
      </c>
      <c r="H97" s="34">
        <f>(SUM(H53:H55)*(1+$D$59))+H66</f>
        <v>-5000</v>
      </c>
      <c r="I97" s="34">
        <f aca="true" t="shared" si="43" ref="I97:S97">(SUM(I53:I55)*(1+$D$59))+I66</f>
        <v>-5500</v>
      </c>
      <c r="J97" s="34">
        <f t="shared" si="43"/>
        <v>-8708.333333333334</v>
      </c>
      <c r="K97" s="34">
        <f t="shared" si="43"/>
        <v>-9208.333333333334</v>
      </c>
      <c r="L97" s="34">
        <f t="shared" si="43"/>
        <v>-9708.333333333334</v>
      </c>
      <c r="M97" s="34">
        <f t="shared" si="43"/>
        <v>-12916.666666666668</v>
      </c>
      <c r="N97" s="34">
        <f t="shared" si="43"/>
        <v>-13416.666666666668</v>
      </c>
      <c r="O97" s="34">
        <f t="shared" si="43"/>
        <v>-13916.666666666668</v>
      </c>
      <c r="P97" s="34">
        <f t="shared" si="43"/>
        <v>-14416.666666666668</v>
      </c>
      <c r="Q97" s="34">
        <f t="shared" si="43"/>
        <v>-17191.666666666668</v>
      </c>
      <c r="R97" s="34">
        <f t="shared" si="43"/>
        <v>-17691.666666666668</v>
      </c>
      <c r="S97" s="34">
        <f t="shared" si="43"/>
        <v>-18191.666666666668</v>
      </c>
      <c r="T97" s="307">
        <f>SUM(H97:S97)</f>
        <v>-145866.6666666667</v>
      </c>
      <c r="U97" s="75"/>
      <c r="V97" s="54"/>
    </row>
    <row r="98" spans="1:22" ht="12">
      <c r="A98" s="133"/>
      <c r="B98" s="147"/>
      <c r="C98" s="147"/>
      <c r="D98" s="150"/>
      <c r="E98" s="151"/>
      <c r="F98" s="100"/>
      <c r="G98" s="316" t="s">
        <v>39</v>
      </c>
      <c r="H98" s="6"/>
      <c r="I98" s="6">
        <f aca="true" t="shared" si="44" ref="I98:T98">I97/I$86</f>
        <v>-2.972972972972973</v>
      </c>
      <c r="J98" s="6">
        <f t="shared" si="44"/>
        <v>-1.7075163398692812</v>
      </c>
      <c r="K98" s="6">
        <f t="shared" si="44"/>
        <v>-1.0523809523809524</v>
      </c>
      <c r="L98" s="6">
        <f t="shared" si="44"/>
        <v>-0.7555123216601817</v>
      </c>
      <c r="M98" s="6">
        <f t="shared" si="44"/>
        <v>-0.740210124164279</v>
      </c>
      <c r="N98" s="6">
        <f t="shared" si="44"/>
        <v>-0.5936578171091446</v>
      </c>
      <c r="O98" s="6">
        <f t="shared" si="44"/>
        <v>-0.4908877131099354</v>
      </c>
      <c r="P98" s="6">
        <f t="shared" si="44"/>
        <v>-0.4136776661884266</v>
      </c>
      <c r="Q98" s="6">
        <f t="shared" si="44"/>
        <v>-0.4078687228153421</v>
      </c>
      <c r="R98" s="6">
        <f t="shared" si="44"/>
        <v>-0.35137371731214834</v>
      </c>
      <c r="S98" s="6">
        <f t="shared" si="44"/>
        <v>-0.3049734562727019</v>
      </c>
      <c r="T98" s="317">
        <f t="shared" si="44"/>
        <v>-0.5131632952213427</v>
      </c>
      <c r="U98" s="75"/>
      <c r="V98" s="54"/>
    </row>
    <row r="99" spans="1:22" ht="12">
      <c r="A99" s="133"/>
      <c r="B99" s="147"/>
      <c r="C99" s="147"/>
      <c r="D99" s="150"/>
      <c r="E99" s="151"/>
      <c r="F99" s="100"/>
      <c r="G99" s="318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281"/>
      <c r="U99" s="75"/>
      <c r="V99" s="54"/>
    </row>
    <row r="100" spans="1:22" ht="12">
      <c r="A100" s="133"/>
      <c r="B100" s="147"/>
      <c r="C100" s="147"/>
      <c r="D100" s="150"/>
      <c r="E100" s="151"/>
      <c r="F100" s="100"/>
      <c r="G100" s="315" t="s">
        <v>56</v>
      </c>
      <c r="H100" s="34">
        <f>(SUM(H49:H51)*(1+$D$59))+H71</f>
        <v>-25</v>
      </c>
      <c r="I100" s="34">
        <f aca="true" t="shared" si="45" ref="I100:S100">(SUM(I49:I51)*(1+$D$59))+I71</f>
        <v>-3275</v>
      </c>
      <c r="J100" s="34">
        <f t="shared" si="45"/>
        <v>-3275</v>
      </c>
      <c r="K100" s="34">
        <f t="shared" si="45"/>
        <v>-7066.666666666666</v>
      </c>
      <c r="L100" s="34">
        <f t="shared" si="45"/>
        <v>-7066.666666666666</v>
      </c>
      <c r="M100" s="34">
        <f t="shared" si="45"/>
        <v>-7066.666666666666</v>
      </c>
      <c r="N100" s="34">
        <f t="shared" si="45"/>
        <v>-7066.666666666666</v>
      </c>
      <c r="O100" s="34">
        <f t="shared" si="45"/>
        <v>-7066.666666666666</v>
      </c>
      <c r="P100" s="34">
        <f t="shared" si="45"/>
        <v>-7066.666666666666</v>
      </c>
      <c r="Q100" s="34">
        <f t="shared" si="45"/>
        <v>-7066.666666666666</v>
      </c>
      <c r="R100" s="34">
        <f t="shared" si="45"/>
        <v>-7066.666666666666</v>
      </c>
      <c r="S100" s="34">
        <f t="shared" si="45"/>
        <v>-7066.666666666666</v>
      </c>
      <c r="T100" s="307">
        <f>SUM(H100:S100)</f>
        <v>-70174.99999999999</v>
      </c>
      <c r="U100" s="75"/>
      <c r="V100" s="54"/>
    </row>
    <row r="101" spans="1:22" ht="12">
      <c r="A101" s="133"/>
      <c r="B101" s="147"/>
      <c r="C101" s="147"/>
      <c r="D101" s="150"/>
      <c r="E101" s="151"/>
      <c r="F101" s="100"/>
      <c r="G101" s="316" t="s">
        <v>39</v>
      </c>
      <c r="H101" s="6"/>
      <c r="I101" s="6">
        <f aca="true" t="shared" si="46" ref="I101:T101">I100/I$86</f>
        <v>-1.7702702702702702</v>
      </c>
      <c r="J101" s="6">
        <f t="shared" si="46"/>
        <v>-0.6421568627450981</v>
      </c>
      <c r="K101" s="6">
        <f t="shared" si="46"/>
        <v>-0.8076190476190476</v>
      </c>
      <c r="L101" s="6">
        <f t="shared" si="46"/>
        <v>-0.549935149156939</v>
      </c>
      <c r="M101" s="6">
        <f t="shared" si="46"/>
        <v>-0.40496657115568285</v>
      </c>
      <c r="N101" s="6">
        <f t="shared" si="46"/>
        <v>-0.3126843657817109</v>
      </c>
      <c r="O101" s="6">
        <f t="shared" si="46"/>
        <v>-0.249265138154027</v>
      </c>
      <c r="P101" s="6">
        <f t="shared" si="46"/>
        <v>-0.20277379244380678</v>
      </c>
      <c r="Q101" s="6">
        <f t="shared" si="46"/>
        <v>-0.16765519968366943</v>
      </c>
      <c r="R101" s="6">
        <f t="shared" si="46"/>
        <v>-0.14035087719298245</v>
      </c>
      <c r="S101" s="6">
        <f t="shared" si="46"/>
        <v>-0.11846884604638167</v>
      </c>
      <c r="T101" s="317">
        <f t="shared" si="46"/>
        <v>-0.24687774846086186</v>
      </c>
      <c r="U101" s="75"/>
      <c r="V101" s="54"/>
    </row>
    <row r="102" spans="1:22" ht="12.75">
      <c r="A102" s="133"/>
      <c r="B102" s="147"/>
      <c r="C102" s="147"/>
      <c r="D102" s="150"/>
      <c r="E102" s="151"/>
      <c r="F102" s="100"/>
      <c r="G102" s="311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281"/>
      <c r="U102" s="75"/>
      <c r="V102" s="54"/>
    </row>
    <row r="103" spans="1:22" ht="12.75">
      <c r="A103" s="133"/>
      <c r="B103" s="147"/>
      <c r="C103" s="147"/>
      <c r="D103" s="150"/>
      <c r="E103" s="151"/>
      <c r="F103" s="100"/>
      <c r="G103" s="315" t="s">
        <v>57</v>
      </c>
      <c r="H103" s="34">
        <f>((SUM(H41:H44)+SUM(H57:H58))*(1+$D$59))+SUM(H72:H77)</f>
        <v>-8708.333333333334</v>
      </c>
      <c r="I103" s="34">
        <f aca="true" t="shared" si="47" ref="I103:S103">((SUM(I41:I44)+SUM(I57:I58))*(1+$D$59))+SUM(I72:I77)</f>
        <v>-8708.333333333334</v>
      </c>
      <c r="J103" s="34">
        <f t="shared" si="47"/>
        <v>-11416.666666666668</v>
      </c>
      <c r="K103" s="34">
        <f t="shared" si="47"/>
        <v>-11416.666666666668</v>
      </c>
      <c r="L103" s="34">
        <f t="shared" si="47"/>
        <v>-11416.666666666668</v>
      </c>
      <c r="M103" s="34">
        <f t="shared" si="47"/>
        <v>-11416.666666666668</v>
      </c>
      <c r="N103" s="34">
        <f t="shared" si="47"/>
        <v>-11416.666666666668</v>
      </c>
      <c r="O103" s="34">
        <f t="shared" si="47"/>
        <v>-11416.666666666668</v>
      </c>
      <c r="P103" s="34">
        <f t="shared" si="47"/>
        <v>-13366.666666666668</v>
      </c>
      <c r="Q103" s="34">
        <f t="shared" si="47"/>
        <v>-13366.666666666668</v>
      </c>
      <c r="R103" s="34">
        <f t="shared" si="47"/>
        <v>-13366.666666666668</v>
      </c>
      <c r="S103" s="34">
        <f t="shared" si="47"/>
        <v>-13366.666666666668</v>
      </c>
      <c r="T103" s="307">
        <f>SUM(H103:S103)</f>
        <v>-139383.33333333337</v>
      </c>
      <c r="U103" s="75"/>
      <c r="V103" s="54"/>
    </row>
    <row r="104" spans="1:22" ht="12.75">
      <c r="A104" s="133"/>
      <c r="B104" s="147"/>
      <c r="C104" s="147"/>
      <c r="D104" s="150"/>
      <c r="E104" s="151"/>
      <c r="F104" s="100"/>
      <c r="G104" s="316" t="s">
        <v>39</v>
      </c>
      <c r="H104" s="6"/>
      <c r="I104" s="6">
        <f aca="true" t="shared" si="48" ref="I104:T104">I103/I$86</f>
        <v>-4.707207207207207</v>
      </c>
      <c r="J104" s="6">
        <f t="shared" si="48"/>
        <v>-2.238562091503268</v>
      </c>
      <c r="K104" s="6">
        <f t="shared" si="48"/>
        <v>-1.304761904761905</v>
      </c>
      <c r="L104" s="6">
        <f t="shared" si="48"/>
        <v>-0.8884565499351492</v>
      </c>
      <c r="M104" s="6">
        <f t="shared" si="48"/>
        <v>-0.6542502387774595</v>
      </c>
      <c r="N104" s="6">
        <f t="shared" si="48"/>
        <v>-0.5051622418879057</v>
      </c>
      <c r="O104" s="6">
        <f t="shared" si="48"/>
        <v>-0.40270429159318055</v>
      </c>
      <c r="P104" s="6">
        <f t="shared" si="48"/>
        <v>-0.38354854136776667</v>
      </c>
      <c r="Q104" s="6">
        <f t="shared" si="48"/>
        <v>-0.31712139185448796</v>
      </c>
      <c r="R104" s="6">
        <f t="shared" si="48"/>
        <v>-0.26547500827540554</v>
      </c>
      <c r="S104" s="6">
        <f t="shared" si="48"/>
        <v>-0.22408493992735404</v>
      </c>
      <c r="T104" s="317">
        <f t="shared" si="48"/>
        <v>-0.4903547346819116</v>
      </c>
      <c r="U104" s="75"/>
      <c r="V104" s="54"/>
    </row>
    <row r="105" spans="1:22" ht="12.75">
      <c r="A105" s="133"/>
      <c r="B105" s="147"/>
      <c r="C105" s="147"/>
      <c r="D105" s="150"/>
      <c r="E105" s="151"/>
      <c r="F105" s="100"/>
      <c r="G105" s="319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240"/>
      <c r="U105" s="75"/>
      <c r="V105" s="54"/>
    </row>
    <row r="106" spans="1:22" ht="12.75">
      <c r="A106" s="133"/>
      <c r="B106" s="182" t="s">
        <v>88</v>
      </c>
      <c r="C106" s="147"/>
      <c r="D106" s="150"/>
      <c r="E106" s="151"/>
      <c r="F106" s="100"/>
      <c r="G106" s="274" t="s">
        <v>40</v>
      </c>
      <c r="H106" s="21">
        <f>(((H86+H92)+H97)+H100)+H103</f>
        <v>-13942.333333333334</v>
      </c>
      <c r="I106" s="21">
        <f aca="true" t="shared" si="49" ref="I106:S106">(((I86+I92)+I97)+I100)+I103</f>
        <v>-16188.833333333334</v>
      </c>
      <c r="J106" s="21">
        <f t="shared" si="49"/>
        <v>-18953</v>
      </c>
      <c r="K106" s="21">
        <f t="shared" si="49"/>
        <v>-19704.166666666668</v>
      </c>
      <c r="L106" s="21">
        <f t="shared" si="49"/>
        <v>-16227.166666666668</v>
      </c>
      <c r="M106" s="21">
        <f t="shared" si="49"/>
        <v>-17681.833333333336</v>
      </c>
      <c r="N106" s="21">
        <f t="shared" si="49"/>
        <v>-13186.333333333334</v>
      </c>
      <c r="O106" s="21">
        <f t="shared" si="49"/>
        <v>-8108.833333333334</v>
      </c>
      <c r="P106" s="21">
        <f t="shared" si="49"/>
        <v>-6420.500000000002</v>
      </c>
      <c r="Q106" s="21">
        <f t="shared" si="49"/>
        <v>-2114.500000000002</v>
      </c>
      <c r="R106" s="21">
        <f t="shared" si="49"/>
        <v>5339.499999999996</v>
      </c>
      <c r="S106" s="21">
        <f t="shared" si="49"/>
        <v>13860.499999999996</v>
      </c>
      <c r="T106" s="294">
        <f>SUM(H106:S106)</f>
        <v>-113327.5</v>
      </c>
      <c r="U106" s="75"/>
      <c r="V106" s="54"/>
    </row>
    <row r="107" spans="1:22" ht="12.75">
      <c r="A107" s="133"/>
      <c r="B107" s="182" t="s">
        <v>95</v>
      </c>
      <c r="C107" s="147"/>
      <c r="D107" s="150"/>
      <c r="E107" s="151"/>
      <c r="F107" s="100"/>
      <c r="G107" s="320" t="s">
        <v>58</v>
      </c>
      <c r="H107" s="5"/>
      <c r="I107" s="5">
        <f aca="true" t="shared" si="50" ref="I107:T107">I106/I86</f>
        <v>-8.750720720720722</v>
      </c>
      <c r="J107" s="5">
        <f t="shared" si="50"/>
        <v>-3.7162745098039216</v>
      </c>
      <c r="K107" s="5">
        <f t="shared" si="50"/>
        <v>-2.251904761904762</v>
      </c>
      <c r="L107" s="5">
        <f t="shared" si="50"/>
        <v>-1.2628145265888457</v>
      </c>
      <c r="M107" s="5">
        <f t="shared" si="50"/>
        <v>-1.013285577841452</v>
      </c>
      <c r="N107" s="5">
        <f t="shared" si="50"/>
        <v>-0.5834660766961652</v>
      </c>
      <c r="O107" s="5">
        <f t="shared" si="50"/>
        <v>-0.28602586713697825</v>
      </c>
      <c r="P107" s="5">
        <f t="shared" si="50"/>
        <v>-0.184232424677188</v>
      </c>
      <c r="Q107" s="5">
        <f t="shared" si="50"/>
        <v>-0.05016607354685651</v>
      </c>
      <c r="R107" s="5">
        <f t="shared" si="50"/>
        <v>0.10604766633565038</v>
      </c>
      <c r="S107" s="5">
        <f t="shared" si="50"/>
        <v>0.2323637887678122</v>
      </c>
      <c r="T107" s="321">
        <f t="shared" si="50"/>
        <v>-0.39868953386103784</v>
      </c>
      <c r="U107" s="75"/>
      <c r="V107" s="54"/>
    </row>
    <row r="108" spans="1:22" ht="12.75">
      <c r="A108" s="133"/>
      <c r="B108" s="182" t="s">
        <v>98</v>
      </c>
      <c r="C108" s="147"/>
      <c r="D108" s="150"/>
      <c r="E108" s="151"/>
      <c r="F108" s="100"/>
      <c r="G108" s="32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281"/>
      <c r="U108" s="75"/>
      <c r="V108" s="54"/>
    </row>
    <row r="109" spans="1:22" ht="12.75">
      <c r="A109" s="133"/>
      <c r="B109" s="183"/>
      <c r="C109" s="147"/>
      <c r="D109" s="150"/>
      <c r="E109" s="151"/>
      <c r="F109" s="100"/>
      <c r="G109" s="32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281"/>
      <c r="U109" s="75"/>
      <c r="V109" s="54"/>
    </row>
    <row r="110" spans="1:22" ht="12.75">
      <c r="A110" s="133"/>
      <c r="B110" s="345" t="s">
        <v>97</v>
      </c>
      <c r="C110" s="147"/>
      <c r="D110" s="150"/>
      <c r="E110" s="151"/>
      <c r="F110" s="100"/>
      <c r="G110" s="301" t="s">
        <v>59</v>
      </c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302"/>
      <c r="U110" s="75"/>
      <c r="V110" s="54"/>
    </row>
    <row r="111" spans="1:22" ht="12">
      <c r="A111" s="143"/>
      <c r="B111" s="158"/>
      <c r="C111" s="158"/>
      <c r="D111" s="159"/>
      <c r="E111" s="160"/>
      <c r="F111" s="117"/>
      <c r="G111" s="323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281"/>
      <c r="U111" s="72"/>
      <c r="V111" s="56"/>
    </row>
    <row r="112" spans="1:22" ht="12">
      <c r="A112" s="144"/>
      <c r="B112" s="161"/>
      <c r="C112" s="161"/>
      <c r="D112" s="162"/>
      <c r="E112" s="163"/>
      <c r="F112" s="118"/>
      <c r="G112" s="272" t="s">
        <v>76</v>
      </c>
      <c r="H112" s="65">
        <f>COUNTIF(H41:H58,("&lt;0"))</f>
        <v>1</v>
      </c>
      <c r="I112" s="65">
        <f aca="true" t="shared" si="51" ref="I112:S112">COUNTIF(I41:I58,("&lt;0"))</f>
        <v>2</v>
      </c>
      <c r="J112" s="65">
        <f t="shared" si="51"/>
        <v>4</v>
      </c>
      <c r="K112" s="65">
        <f t="shared" si="51"/>
        <v>5</v>
      </c>
      <c r="L112" s="65">
        <f t="shared" si="51"/>
        <v>5</v>
      </c>
      <c r="M112" s="65">
        <f t="shared" si="51"/>
        <v>7</v>
      </c>
      <c r="N112" s="65">
        <f t="shared" si="51"/>
        <v>7</v>
      </c>
      <c r="O112" s="65">
        <f t="shared" si="51"/>
        <v>7</v>
      </c>
      <c r="P112" s="65">
        <f t="shared" si="51"/>
        <v>9</v>
      </c>
      <c r="Q112" s="65">
        <f t="shared" si="51"/>
        <v>10</v>
      </c>
      <c r="R112" s="65">
        <f t="shared" si="51"/>
        <v>10</v>
      </c>
      <c r="S112" s="65">
        <f t="shared" si="51"/>
        <v>10</v>
      </c>
      <c r="T112" s="324">
        <f>S112</f>
        <v>10</v>
      </c>
      <c r="U112" s="72"/>
      <c r="V112" s="56"/>
    </row>
    <row r="113" spans="1:22" s="30" customFormat="1" ht="12">
      <c r="A113" s="144"/>
      <c r="B113" s="161"/>
      <c r="C113" s="161"/>
      <c r="D113" s="162"/>
      <c r="E113" s="163"/>
      <c r="F113" s="118"/>
      <c r="G113" s="272" t="s">
        <v>94</v>
      </c>
      <c r="H113" s="97">
        <f>H60/H112</f>
        <v>-2708.3333333333335</v>
      </c>
      <c r="I113" s="97">
        <f aca="true" t="shared" si="52" ref="I113:S113">I60/I112</f>
        <v>-2979.166666666667</v>
      </c>
      <c r="J113" s="97">
        <f t="shared" si="52"/>
        <v>-2843.75</v>
      </c>
      <c r="K113" s="97">
        <f t="shared" si="52"/>
        <v>-3033.3333333333335</v>
      </c>
      <c r="L113" s="97">
        <f t="shared" si="52"/>
        <v>-3033.3333333333335</v>
      </c>
      <c r="M113" s="97">
        <f t="shared" si="52"/>
        <v>-2940.476190476191</v>
      </c>
      <c r="N113" s="97">
        <f t="shared" si="52"/>
        <v>-2940.476190476191</v>
      </c>
      <c r="O113" s="97">
        <f t="shared" si="52"/>
        <v>-2940.476190476191</v>
      </c>
      <c r="P113" s="97">
        <f t="shared" si="52"/>
        <v>-2744.4444444444443</v>
      </c>
      <c r="Q113" s="97">
        <f t="shared" si="52"/>
        <v>-2697.5</v>
      </c>
      <c r="R113" s="97">
        <f t="shared" si="52"/>
        <v>-2697.5</v>
      </c>
      <c r="S113" s="97">
        <f t="shared" si="52"/>
        <v>-2697.5</v>
      </c>
      <c r="T113" s="325">
        <f>S113</f>
        <v>-2697.5</v>
      </c>
      <c r="U113" s="72"/>
      <c r="V113" s="56"/>
    </row>
    <row r="114" spans="1:22" ht="12">
      <c r="A114" s="144"/>
      <c r="B114" s="161"/>
      <c r="C114" s="161"/>
      <c r="D114" s="162"/>
      <c r="E114" s="163"/>
      <c r="F114" s="118"/>
      <c r="G114" s="272" t="s">
        <v>80</v>
      </c>
      <c r="H114" s="64">
        <f>_xlfn.IFERROR(H16/(COUNTIF(H53:H55,"&lt;0")),"")</f>
      </c>
      <c r="I114" s="64">
        <f aca="true" t="shared" si="53" ref="I114:S114">_xlfn.IFERROR(I16/(COUNTIF(I53:I55,"&lt;0")),"")</f>
      </c>
      <c r="J114" s="64">
        <f t="shared" si="53"/>
        <v>194</v>
      </c>
      <c r="K114" s="64">
        <f t="shared" si="53"/>
        <v>219</v>
      </c>
      <c r="L114" s="64">
        <f t="shared" si="53"/>
        <v>248</v>
      </c>
      <c r="M114" s="64">
        <f t="shared" si="53"/>
        <v>140</v>
      </c>
      <c r="N114" s="64">
        <f t="shared" si="53"/>
        <v>158.5</v>
      </c>
      <c r="O114" s="64">
        <f t="shared" si="53"/>
        <v>179.5</v>
      </c>
      <c r="P114" s="64">
        <f t="shared" si="53"/>
        <v>202.5</v>
      </c>
      <c r="Q114" s="64">
        <f t="shared" si="53"/>
        <v>152.66666666666666</v>
      </c>
      <c r="R114" s="64">
        <f t="shared" si="53"/>
        <v>172.66666666666666</v>
      </c>
      <c r="S114" s="64">
        <f t="shared" si="53"/>
        <v>195.33333333333334</v>
      </c>
      <c r="T114" s="326"/>
      <c r="U114" s="75"/>
      <c r="V114" s="54"/>
    </row>
    <row r="115" spans="1:22" ht="12">
      <c r="A115" s="144"/>
      <c r="B115" s="161"/>
      <c r="C115" s="161"/>
      <c r="D115" s="162"/>
      <c r="E115" s="163"/>
      <c r="F115" s="118"/>
      <c r="G115" s="272" t="s">
        <v>83</v>
      </c>
      <c r="H115" s="16">
        <f>_xlfn.IFERROR(H24/(COUNTIF(H46:H47,"&lt;0")),0)</f>
        <v>0</v>
      </c>
      <c r="I115" s="16">
        <f aca="true" t="shared" si="54" ref="I115:S115">_xlfn.IFERROR(I24/(COUNTIF(I46:I47,"&lt;0")),0)</f>
        <v>0</v>
      </c>
      <c r="J115" s="16">
        <f t="shared" si="54"/>
        <v>0</v>
      </c>
      <c r="K115" s="16">
        <f t="shared" si="54"/>
        <v>0</v>
      </c>
      <c r="L115" s="16">
        <f t="shared" si="54"/>
        <v>0</v>
      </c>
      <c r="M115" s="16">
        <f t="shared" si="54"/>
        <v>199</v>
      </c>
      <c r="N115" s="16">
        <f t="shared" si="54"/>
        <v>253</v>
      </c>
      <c r="O115" s="16">
        <f t="shared" si="54"/>
        <v>314</v>
      </c>
      <c r="P115" s="16">
        <f t="shared" si="54"/>
        <v>191.5</v>
      </c>
      <c r="Q115" s="16">
        <f t="shared" si="54"/>
        <v>230</v>
      </c>
      <c r="R115" s="16">
        <f t="shared" si="54"/>
        <v>273.5</v>
      </c>
      <c r="S115" s="16">
        <f t="shared" si="54"/>
        <v>323</v>
      </c>
      <c r="T115" s="327"/>
      <c r="U115" s="72"/>
      <c r="V115" s="56"/>
    </row>
    <row r="116" spans="1:22" s="30" customFormat="1" ht="12">
      <c r="A116" s="144"/>
      <c r="B116" s="161"/>
      <c r="C116" s="161"/>
      <c r="D116" s="162"/>
      <c r="E116" s="163"/>
      <c r="F116" s="118"/>
      <c r="G116" s="272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327"/>
      <c r="U116" s="72"/>
      <c r="V116" s="56"/>
    </row>
    <row r="117" spans="1:22" s="30" customFormat="1" ht="12">
      <c r="A117" s="144"/>
      <c r="B117" s="161"/>
      <c r="C117" s="161"/>
      <c r="D117" s="162"/>
      <c r="E117" s="163"/>
      <c r="F117" s="118"/>
      <c r="G117" s="328" t="s">
        <v>89</v>
      </c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329"/>
      <c r="U117" s="72"/>
      <c r="V117" s="56"/>
    </row>
    <row r="118" spans="1:22" s="30" customFormat="1" ht="12">
      <c r="A118" s="144"/>
      <c r="B118" s="161"/>
      <c r="C118" s="161"/>
      <c r="D118" s="162"/>
      <c r="E118" s="163"/>
      <c r="F118" s="118"/>
      <c r="G118" s="272" t="s">
        <v>90</v>
      </c>
      <c r="H118" s="94">
        <f>H23/H20</f>
        <v>0</v>
      </c>
      <c r="I118" s="94">
        <f aca="true" t="shared" si="55" ref="I118:S118">I23/I20</f>
        <v>0</v>
      </c>
      <c r="J118" s="94">
        <f t="shared" si="55"/>
        <v>0.029411764705882353</v>
      </c>
      <c r="K118" s="94">
        <f t="shared" si="55"/>
        <v>0.014705882352941176</v>
      </c>
      <c r="L118" s="94">
        <f t="shared" si="55"/>
        <v>0.018691588785046728</v>
      </c>
      <c r="M118" s="94">
        <f t="shared" si="55"/>
        <v>0.013333333333333334</v>
      </c>
      <c r="N118" s="94">
        <f t="shared" si="55"/>
        <v>0.01507537688442211</v>
      </c>
      <c r="O118" s="94">
        <f t="shared" si="55"/>
        <v>0.015810276679841896</v>
      </c>
      <c r="P118" s="94">
        <f t="shared" si="55"/>
        <v>0.01592356687898089</v>
      </c>
      <c r="Q118" s="94">
        <f t="shared" si="55"/>
        <v>0.015665796344647518</v>
      </c>
      <c r="R118" s="94">
        <f t="shared" si="55"/>
        <v>0.015217391304347827</v>
      </c>
      <c r="S118" s="94">
        <f t="shared" si="55"/>
        <v>0.014625228519195612</v>
      </c>
      <c r="T118" s="327"/>
      <c r="U118" s="72"/>
      <c r="V118" s="56"/>
    </row>
    <row r="119" spans="1:22" s="30" customFormat="1" ht="12">
      <c r="A119" s="144"/>
      <c r="B119" s="161"/>
      <c r="C119" s="161"/>
      <c r="D119" s="162"/>
      <c r="E119" s="163"/>
      <c r="F119" s="118"/>
      <c r="G119" s="272" t="s">
        <v>91</v>
      </c>
      <c r="H119" s="95">
        <f>H31</f>
        <v>300</v>
      </c>
      <c r="I119" s="95">
        <f aca="true" t="shared" si="56" ref="I119:S119">I31</f>
        <v>1850</v>
      </c>
      <c r="J119" s="95">
        <f t="shared" si="56"/>
        <v>5100</v>
      </c>
      <c r="K119" s="95">
        <f t="shared" si="56"/>
        <v>8750</v>
      </c>
      <c r="L119" s="95">
        <f t="shared" si="56"/>
        <v>12850</v>
      </c>
      <c r="M119" s="95">
        <f t="shared" si="56"/>
        <v>17450</v>
      </c>
      <c r="N119" s="95">
        <f t="shared" si="56"/>
        <v>22600</v>
      </c>
      <c r="O119" s="95">
        <f t="shared" si="56"/>
        <v>28350</v>
      </c>
      <c r="P119" s="95">
        <f t="shared" si="56"/>
        <v>34850</v>
      </c>
      <c r="Q119" s="95">
        <f t="shared" si="56"/>
        <v>42150</v>
      </c>
      <c r="R119" s="95">
        <f t="shared" si="56"/>
        <v>50350</v>
      </c>
      <c r="S119" s="95">
        <f t="shared" si="56"/>
        <v>59650</v>
      </c>
      <c r="T119" s="327"/>
      <c r="U119" s="72"/>
      <c r="V119" s="56"/>
    </row>
    <row r="120" spans="1:22" s="30" customFormat="1" ht="12">
      <c r="A120" s="144"/>
      <c r="B120" s="161"/>
      <c r="C120" s="161"/>
      <c r="D120" s="162"/>
      <c r="E120" s="163"/>
      <c r="F120" s="118"/>
      <c r="G120" s="272" t="s">
        <v>78</v>
      </c>
      <c r="H120" s="63"/>
      <c r="I120" s="63">
        <f aca="true" t="shared" si="57" ref="I120:S120">_xlfn.IFERROR((((SUM(I53:I55)*(1+$D$59)))*(H15/H16)+I66)/(H15*H21),"")</f>
        <v>-550</v>
      </c>
      <c r="J120" s="63">
        <f t="shared" si="57"/>
        <v>-613.3718891298626</v>
      </c>
      <c r="K120" s="63">
        <f t="shared" si="57"/>
        <v>-599.5913340738143</v>
      </c>
      <c r="L120" s="63">
        <f t="shared" si="57"/>
        <v>-587.7291560013609</v>
      </c>
      <c r="M120" s="63">
        <f t="shared" si="57"/>
        <v>-623.8022995847971</v>
      </c>
      <c r="N120" s="63">
        <f t="shared" si="57"/>
        <v>-608.5992197103308</v>
      </c>
      <c r="O120" s="63">
        <f t="shared" si="57"/>
        <v>-588.6547542128858</v>
      </c>
      <c r="P120" s="63">
        <f t="shared" si="57"/>
        <v>-571.0653734189774</v>
      </c>
      <c r="Q120" s="63">
        <f t="shared" si="57"/>
        <v>-588.5078398752898</v>
      </c>
      <c r="R120" s="63">
        <f t="shared" si="57"/>
        <v>-571.1199609940815</v>
      </c>
      <c r="S120" s="63">
        <f t="shared" si="57"/>
        <v>-555.6360054749379</v>
      </c>
      <c r="T120" s="326"/>
      <c r="U120" s="75"/>
      <c r="V120" s="54"/>
    </row>
    <row r="121" spans="1:22" ht="12">
      <c r="A121" s="144"/>
      <c r="B121" s="161"/>
      <c r="C121" s="161"/>
      <c r="D121" s="162"/>
      <c r="E121" s="163"/>
      <c r="F121" s="118"/>
      <c r="G121" s="272" t="s">
        <v>79</v>
      </c>
      <c r="H121" s="63">
        <f aca="true" t="shared" si="58" ref="H121:S121">_xlfn.IFERROR(((SUM(H53:H55)*(1+$D$59))+H66)/H22,"")</f>
      </c>
      <c r="I121" s="63">
        <f t="shared" si="58"/>
        <v>-177.41935483870967</v>
      </c>
      <c r="J121" s="63">
        <f t="shared" si="58"/>
        <v>-248.80952380952382</v>
      </c>
      <c r="K121" s="63">
        <f t="shared" si="58"/>
        <v>-230.20833333333334</v>
      </c>
      <c r="L121" s="63">
        <f t="shared" si="58"/>
        <v>-215.74074074074076</v>
      </c>
      <c r="M121" s="63">
        <f t="shared" si="58"/>
        <v>-253.26797385620918</v>
      </c>
      <c r="N121" s="63">
        <f t="shared" si="58"/>
        <v>-235.38011695906434</v>
      </c>
      <c r="O121" s="63">
        <f t="shared" si="58"/>
        <v>-214.10256410256412</v>
      </c>
      <c r="P121" s="63">
        <f t="shared" si="58"/>
        <v>-194.81981981981983</v>
      </c>
      <c r="Q121" s="63">
        <f t="shared" si="58"/>
        <v>-207.1285140562249</v>
      </c>
      <c r="R121" s="63">
        <f t="shared" si="58"/>
        <v>-188.20921985815605</v>
      </c>
      <c r="S121" s="63">
        <f t="shared" si="58"/>
        <v>-170.01557632398755</v>
      </c>
      <c r="T121" s="326"/>
      <c r="U121" s="75"/>
      <c r="V121" s="54"/>
    </row>
    <row r="122" spans="1:22" s="30" customFormat="1" ht="12">
      <c r="A122" s="144"/>
      <c r="B122" s="161"/>
      <c r="C122" s="161"/>
      <c r="D122" s="162"/>
      <c r="E122" s="163"/>
      <c r="F122" s="118"/>
      <c r="G122" s="272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327"/>
      <c r="U122" s="72"/>
      <c r="V122" s="56"/>
    </row>
    <row r="123" spans="1:22" s="30" customFormat="1" ht="12">
      <c r="A123" s="144"/>
      <c r="B123" s="161"/>
      <c r="C123" s="161"/>
      <c r="D123" s="162"/>
      <c r="E123" s="163"/>
      <c r="F123" s="118"/>
      <c r="G123" s="272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327"/>
      <c r="U123" s="72"/>
      <c r="V123" s="56"/>
    </row>
    <row r="124" spans="1:22" s="30" customFormat="1" ht="12">
      <c r="A124" s="144"/>
      <c r="B124" s="161"/>
      <c r="C124" s="161"/>
      <c r="D124" s="162"/>
      <c r="E124" s="163"/>
      <c r="F124" s="118"/>
      <c r="G124" s="272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327"/>
      <c r="U124" s="72"/>
      <c r="V124" s="56"/>
    </row>
    <row r="125" spans="1:22" s="30" customFormat="1" ht="12">
      <c r="A125" s="144"/>
      <c r="B125" s="161"/>
      <c r="C125" s="161"/>
      <c r="D125" s="162"/>
      <c r="E125" s="163"/>
      <c r="F125" s="118"/>
      <c r="G125" s="272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327"/>
      <c r="U125" s="72"/>
      <c r="V125" s="56"/>
    </row>
    <row r="126" spans="1:22" s="30" customFormat="1" ht="12">
      <c r="A126" s="144"/>
      <c r="B126" s="161"/>
      <c r="C126" s="161"/>
      <c r="D126" s="162"/>
      <c r="E126" s="163"/>
      <c r="F126" s="118"/>
      <c r="G126" s="272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327"/>
      <c r="U126" s="72"/>
      <c r="V126" s="56"/>
    </row>
    <row r="127" spans="1:22" s="30" customFormat="1" ht="12">
      <c r="A127" s="144"/>
      <c r="B127" s="161"/>
      <c r="C127" s="161"/>
      <c r="D127" s="162"/>
      <c r="E127" s="163"/>
      <c r="F127" s="118"/>
      <c r="G127" s="272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327"/>
      <c r="U127" s="72"/>
      <c r="V127" s="56"/>
    </row>
    <row r="128" spans="1:22" s="30" customFormat="1" ht="12">
      <c r="A128" s="144"/>
      <c r="B128" s="161"/>
      <c r="C128" s="161"/>
      <c r="D128" s="162"/>
      <c r="E128" s="163"/>
      <c r="F128" s="118"/>
      <c r="G128" s="272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327"/>
      <c r="U128" s="72"/>
      <c r="V128" s="56"/>
    </row>
    <row r="129" spans="1:22" ht="12.75" customHeight="1">
      <c r="A129" s="145"/>
      <c r="B129" s="164"/>
      <c r="C129" s="164"/>
      <c r="D129" s="165"/>
      <c r="E129" s="166"/>
      <c r="F129" s="118"/>
      <c r="G129" s="330"/>
      <c r="H129" s="331"/>
      <c r="I129" s="331"/>
      <c r="J129" s="331"/>
      <c r="K129" s="331"/>
      <c r="L129" s="331"/>
      <c r="M129" s="331"/>
      <c r="N129" s="331"/>
      <c r="O129" s="331"/>
      <c r="P129" s="331"/>
      <c r="Q129" s="331"/>
      <c r="R129" s="331"/>
      <c r="S129" s="331"/>
      <c r="T129" s="332"/>
      <c r="U129" s="72"/>
      <c r="V129" s="56"/>
    </row>
    <row r="130" spans="1:22" ht="12">
      <c r="A130" s="119"/>
      <c r="B130" s="120"/>
      <c r="C130" s="120"/>
      <c r="D130" s="121"/>
      <c r="E130" s="121"/>
      <c r="F130" s="54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6"/>
      <c r="V130" s="56"/>
    </row>
    <row r="131" spans="1:22" ht="12">
      <c r="A131" s="15"/>
      <c r="B131" s="57"/>
      <c r="C131" s="57"/>
      <c r="D131" s="58"/>
      <c r="E131" s="58"/>
      <c r="F131" s="54"/>
      <c r="G131" s="54"/>
      <c r="H131" s="59"/>
      <c r="I131" s="60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4"/>
      <c r="U131" s="56"/>
      <c r="V131" s="56"/>
    </row>
    <row r="132" spans="1:22" ht="12">
      <c r="A132" s="15"/>
      <c r="B132" s="57"/>
      <c r="C132" s="57"/>
      <c r="D132" s="58"/>
      <c r="E132" s="58"/>
      <c r="F132" s="54"/>
      <c r="G132" s="54"/>
      <c r="H132" s="54"/>
      <c r="I132" s="61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6"/>
      <c r="V132" s="56"/>
    </row>
    <row r="133" spans="1:22" s="43" customFormat="1" ht="12">
      <c r="A133" s="40"/>
      <c r="B133" s="57"/>
      <c r="C133" s="57"/>
      <c r="D133" s="58"/>
      <c r="E133" s="58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6"/>
      <c r="V133" s="56"/>
    </row>
    <row r="134" spans="1:22" s="43" customFormat="1" ht="12">
      <c r="A134" s="54"/>
      <c r="B134" s="57"/>
      <c r="C134" s="57"/>
      <c r="D134" s="58"/>
      <c r="E134" s="58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6"/>
      <c r="V134" s="56"/>
    </row>
    <row r="135" spans="1:22" s="43" customFormat="1" ht="12">
      <c r="A135" s="54"/>
      <c r="B135" s="57"/>
      <c r="C135" s="57"/>
      <c r="D135" s="58"/>
      <c r="E135" s="58"/>
      <c r="F135" s="54"/>
      <c r="G135" s="54"/>
      <c r="H135" s="54"/>
      <c r="I135" s="60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6"/>
      <c r="V135" s="56"/>
    </row>
    <row r="136" spans="1:22" s="43" customFormat="1" ht="12">
      <c r="A136" s="54"/>
      <c r="B136" s="57"/>
      <c r="C136" s="57"/>
      <c r="D136" s="58"/>
      <c r="E136" s="58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6"/>
      <c r="V136" s="56"/>
    </row>
    <row r="137" spans="1:21" s="43" customFormat="1" ht="12">
      <c r="A137" s="54"/>
      <c r="B137" s="57"/>
      <c r="C137" s="57"/>
      <c r="D137" s="58"/>
      <c r="E137" s="58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6"/>
    </row>
    <row r="138" spans="1:20" s="43" customFormat="1" ht="12">
      <c r="A138" s="40"/>
      <c r="B138" s="41"/>
      <c r="C138" s="41"/>
      <c r="D138" s="42"/>
      <c r="E138" s="42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s="43" customFormat="1" ht="12">
      <c r="A139" s="40"/>
      <c r="B139" s="41"/>
      <c r="C139" s="41"/>
      <c r="D139" s="42"/>
      <c r="E139" s="42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s="43" customFormat="1" ht="12">
      <c r="A140" s="40"/>
      <c r="B140" s="41"/>
      <c r="C140" s="41"/>
      <c r="D140" s="42"/>
      <c r="E140" s="42"/>
      <c r="F140" s="40"/>
      <c r="G140" s="40"/>
      <c r="H140" s="40"/>
      <c r="I140" s="40"/>
      <c r="J140" s="53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s="43" customFormat="1" ht="12">
      <c r="A141" s="40"/>
      <c r="B141" s="41"/>
      <c r="C141" s="41"/>
      <c r="D141" s="42"/>
      <c r="E141" s="42"/>
      <c r="F141" s="40"/>
      <c r="G141" s="40"/>
      <c r="H141" s="40"/>
      <c r="I141" s="40"/>
      <c r="J141" s="53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s="43" customFormat="1" ht="12">
      <c r="A142" s="40"/>
      <c r="B142" s="41"/>
      <c r="C142" s="41"/>
      <c r="D142" s="42"/>
      <c r="E142" s="42"/>
      <c r="F142" s="40"/>
      <c r="G142" s="40"/>
      <c r="H142" s="40"/>
      <c r="I142" s="40"/>
      <c r="J142" s="53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s="43" customFormat="1" ht="12">
      <c r="A143" s="40"/>
      <c r="B143" s="41"/>
      <c r="C143" s="41"/>
      <c r="D143" s="42"/>
      <c r="E143" s="42"/>
      <c r="F143" s="40"/>
      <c r="G143" s="40"/>
      <c r="H143" s="40"/>
      <c r="I143" s="40"/>
      <c r="J143" s="53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s="43" customFormat="1" ht="12">
      <c r="A144" s="40"/>
      <c r="B144" s="41"/>
      <c r="C144" s="41"/>
      <c r="D144" s="42"/>
      <c r="E144" s="42"/>
      <c r="F144" s="40"/>
      <c r="G144" s="40"/>
      <c r="H144" s="40"/>
      <c r="I144" s="40"/>
      <c r="J144" s="53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s="43" customFormat="1" ht="12">
      <c r="A145" s="40"/>
      <c r="B145" s="41"/>
      <c r="C145" s="41"/>
      <c r="D145" s="42"/>
      <c r="E145" s="42"/>
      <c r="F145" s="40"/>
      <c r="G145" s="40"/>
      <c r="H145" s="40"/>
      <c r="I145" s="40"/>
      <c r="J145" s="53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s="43" customFormat="1" ht="12">
      <c r="A146" s="40"/>
      <c r="B146" s="41"/>
      <c r="C146" s="41"/>
      <c r="D146" s="42"/>
      <c r="E146" s="42"/>
      <c r="F146" s="40"/>
      <c r="G146" s="40"/>
      <c r="H146" s="40"/>
      <c r="I146" s="40"/>
      <c r="J146" s="53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s="43" customFormat="1" ht="12">
      <c r="A147" s="40"/>
      <c r="B147" s="41"/>
      <c r="C147" s="41"/>
      <c r="D147" s="42"/>
      <c r="E147" s="42"/>
      <c r="F147" s="40"/>
      <c r="G147" s="40"/>
      <c r="H147" s="40"/>
      <c r="I147" s="40"/>
      <c r="J147" s="53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s="43" customFormat="1" ht="12">
      <c r="A148" s="40"/>
      <c r="B148" s="41"/>
      <c r="C148" s="41"/>
      <c r="D148" s="42"/>
      <c r="E148" s="42"/>
      <c r="F148" s="40"/>
      <c r="G148" s="40"/>
      <c r="H148" s="40"/>
      <c r="I148" s="40"/>
      <c r="J148" s="53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s="43" customFormat="1" ht="12">
      <c r="A149" s="40"/>
      <c r="B149" s="41"/>
      <c r="C149" s="41"/>
      <c r="D149" s="42"/>
      <c r="E149" s="42"/>
      <c r="F149" s="40"/>
      <c r="G149" s="40"/>
      <c r="H149" s="40"/>
      <c r="I149" s="40"/>
      <c r="J149" s="53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s="43" customFormat="1" ht="12">
      <c r="A150" s="40"/>
      <c r="B150" s="41"/>
      <c r="C150" s="41"/>
      <c r="D150" s="42"/>
      <c r="E150" s="42"/>
      <c r="F150" s="40"/>
      <c r="G150" s="40"/>
      <c r="H150" s="40"/>
      <c r="I150" s="40"/>
      <c r="J150" s="53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s="43" customFormat="1" ht="12">
      <c r="A151" s="40"/>
      <c r="B151" s="41"/>
      <c r="C151" s="41"/>
      <c r="D151" s="42"/>
      <c r="E151" s="42"/>
      <c r="F151" s="40"/>
      <c r="G151" s="40"/>
      <c r="H151" s="40"/>
      <c r="I151" s="40"/>
      <c r="J151" s="53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s="43" customFormat="1" ht="12">
      <c r="A152" s="40"/>
      <c r="B152" s="41"/>
      <c r="C152" s="41"/>
      <c r="D152" s="42"/>
      <c r="E152" s="42"/>
      <c r="F152" s="40"/>
      <c r="G152" s="40"/>
      <c r="H152" s="40"/>
      <c r="I152" s="40"/>
      <c r="J152" s="52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s="43" customFormat="1" ht="12">
      <c r="A153" s="40"/>
      <c r="B153" s="41"/>
      <c r="C153" s="41"/>
      <c r="D153" s="42"/>
      <c r="E153" s="42"/>
      <c r="F153" s="40"/>
      <c r="G153" s="40"/>
      <c r="H153" s="40"/>
      <c r="I153" s="40"/>
      <c r="J153" s="53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s="43" customFormat="1" ht="12">
      <c r="A154" s="40"/>
      <c r="B154" s="41"/>
      <c r="C154" s="41"/>
      <c r="D154" s="42"/>
      <c r="E154" s="42"/>
      <c r="F154" s="40"/>
      <c r="G154" s="40"/>
      <c r="H154" s="40"/>
      <c r="I154" s="40"/>
      <c r="J154" s="53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s="43" customFormat="1" ht="12">
      <c r="A155" s="40"/>
      <c r="B155" s="41"/>
      <c r="C155" s="41"/>
      <c r="D155" s="42"/>
      <c r="E155" s="42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s="43" customFormat="1" ht="12">
      <c r="A156" s="40"/>
      <c r="B156" s="41"/>
      <c r="C156" s="41"/>
      <c r="D156" s="42"/>
      <c r="E156" s="42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s="43" customFormat="1" ht="12">
      <c r="A157" s="40"/>
      <c r="B157" s="41"/>
      <c r="C157" s="41"/>
      <c r="D157" s="42"/>
      <c r="E157" s="42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s="43" customFormat="1" ht="12">
      <c r="A158" s="40"/>
      <c r="B158" s="41"/>
      <c r="C158" s="41"/>
      <c r="D158" s="42"/>
      <c r="E158" s="42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s="43" customFormat="1" ht="12">
      <c r="A159" s="40"/>
      <c r="B159" s="41"/>
      <c r="C159" s="41"/>
      <c r="D159" s="42"/>
      <c r="E159" s="42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s="43" customFormat="1" ht="12">
      <c r="A160" s="40"/>
      <c r="B160" s="41"/>
      <c r="C160" s="41"/>
      <c r="D160" s="42"/>
      <c r="E160" s="42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s="43" customFormat="1" ht="12">
      <c r="A161" s="40"/>
      <c r="B161" s="41"/>
      <c r="C161" s="41"/>
      <c r="D161" s="42"/>
      <c r="E161" s="42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s="43" customFormat="1" ht="12">
      <c r="A162" s="40"/>
      <c r="B162" s="41"/>
      <c r="C162" s="41"/>
      <c r="D162" s="42"/>
      <c r="E162" s="42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s="43" customFormat="1" ht="12">
      <c r="A163" s="40"/>
      <c r="B163" s="41"/>
      <c r="C163" s="41"/>
      <c r="D163" s="42"/>
      <c r="E163" s="42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s="43" customFormat="1" ht="12">
      <c r="A164" s="40"/>
      <c r="B164" s="41"/>
      <c r="C164" s="41"/>
      <c r="D164" s="42"/>
      <c r="E164" s="42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s="43" customFormat="1" ht="12">
      <c r="A165" s="40"/>
      <c r="B165" s="41"/>
      <c r="C165" s="41"/>
      <c r="D165" s="42"/>
      <c r="E165" s="42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s="43" customFormat="1" ht="12">
      <c r="A166" s="40"/>
      <c r="B166" s="41"/>
      <c r="C166" s="41"/>
      <c r="D166" s="42"/>
      <c r="E166" s="42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s="43" customFormat="1" ht="12">
      <c r="A167" s="40"/>
      <c r="B167" s="41"/>
      <c r="C167" s="41"/>
      <c r="D167" s="42"/>
      <c r="E167" s="42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s="43" customFormat="1" ht="12">
      <c r="A168" s="40"/>
      <c r="B168" s="41"/>
      <c r="C168" s="41"/>
      <c r="D168" s="42"/>
      <c r="E168" s="42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s="43" customFormat="1" ht="12">
      <c r="A169" s="40"/>
      <c r="B169" s="41"/>
      <c r="C169" s="41"/>
      <c r="D169" s="42"/>
      <c r="E169" s="42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s="43" customFormat="1" ht="12">
      <c r="A170" s="40"/>
      <c r="B170" s="41"/>
      <c r="C170" s="41"/>
      <c r="D170" s="42"/>
      <c r="E170" s="42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s="43" customFormat="1" ht="12">
      <c r="A171" s="40"/>
      <c r="B171" s="41"/>
      <c r="C171" s="41"/>
      <c r="D171" s="42"/>
      <c r="E171" s="42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s="43" customFormat="1" ht="12">
      <c r="A172" s="40"/>
      <c r="B172" s="41"/>
      <c r="C172" s="41"/>
      <c r="D172" s="42"/>
      <c r="E172" s="42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s="43" customFormat="1" ht="12">
      <c r="A173" s="40"/>
      <c r="B173" s="41"/>
      <c r="C173" s="41"/>
      <c r="D173" s="42"/>
      <c r="E173" s="42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s="43" customFormat="1" ht="12">
      <c r="A174" s="40"/>
      <c r="B174" s="41"/>
      <c r="C174" s="41"/>
      <c r="D174" s="42"/>
      <c r="E174" s="42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s="43" customFormat="1" ht="12">
      <c r="A175" s="40"/>
      <c r="B175" s="44">
        <f>DATE($D$5,1,1)</f>
        <v>43831</v>
      </c>
      <c r="C175" s="44"/>
      <c r="D175" s="45"/>
      <c r="E175" s="42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s="43" customFormat="1" ht="12">
      <c r="A176" s="40"/>
      <c r="B176" s="44">
        <f>DATE($D$5,2,1)</f>
        <v>43862</v>
      </c>
      <c r="C176" s="44"/>
      <c r="D176" s="45"/>
      <c r="E176" s="42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s="43" customFormat="1" ht="12">
      <c r="A177" s="40"/>
      <c r="B177" s="44">
        <f>DATE($D$5,3,1)</f>
        <v>43891</v>
      </c>
      <c r="C177" s="44"/>
      <c r="D177" s="45"/>
      <c r="E177" s="42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s="43" customFormat="1" ht="12">
      <c r="A178" s="40"/>
      <c r="B178" s="44">
        <f>DATE($D$5,4,1)</f>
        <v>43922</v>
      </c>
      <c r="C178" s="44"/>
      <c r="D178" s="45"/>
      <c r="E178" s="42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s="43" customFormat="1" ht="12">
      <c r="A179" s="40"/>
      <c r="B179" s="44">
        <f>DATE($D$5,5,1)</f>
        <v>43952</v>
      </c>
      <c r="C179" s="44"/>
      <c r="D179" s="45"/>
      <c r="E179" s="42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s="43" customFormat="1" ht="12">
      <c r="A180" s="40"/>
      <c r="B180" s="44">
        <f>DATE($D$5,6,1)</f>
        <v>43983</v>
      </c>
      <c r="C180" s="44"/>
      <c r="D180" s="45"/>
      <c r="E180" s="42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s="43" customFormat="1" ht="12">
      <c r="A181" s="40"/>
      <c r="B181" s="44">
        <f>DATE($D$5,7,1)</f>
        <v>44013</v>
      </c>
      <c r="C181" s="44"/>
      <c r="D181" s="45"/>
      <c r="E181" s="42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s="43" customFormat="1" ht="12">
      <c r="A182" s="40"/>
      <c r="B182" s="44">
        <f>DATE($D$5,8,1)</f>
        <v>44044</v>
      </c>
      <c r="C182" s="44"/>
      <c r="D182" s="45"/>
      <c r="E182" s="42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s="43" customFormat="1" ht="12">
      <c r="A183" s="40"/>
      <c r="B183" s="44">
        <f>DATE($D$5,9,1)</f>
        <v>44075</v>
      </c>
      <c r="C183" s="44"/>
      <c r="D183" s="45"/>
      <c r="E183" s="42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s="43" customFormat="1" ht="12">
      <c r="A184" s="40"/>
      <c r="B184" s="44">
        <f>DATE($D$5,10,1)</f>
        <v>44105</v>
      </c>
      <c r="C184" s="44"/>
      <c r="D184" s="45"/>
      <c r="E184" s="42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s="43" customFormat="1" ht="12">
      <c r="A185" s="40"/>
      <c r="B185" s="44">
        <f>DATE($D$5,11,1)</f>
        <v>44136</v>
      </c>
      <c r="C185" s="44"/>
      <c r="D185" s="45"/>
      <c r="E185" s="42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s="43" customFormat="1" ht="12">
      <c r="A186" s="40"/>
      <c r="B186" s="44">
        <f>DATE($D$5,12,1)</f>
        <v>44166</v>
      </c>
      <c r="C186" s="44"/>
      <c r="D186" s="45"/>
      <c r="E186" s="42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s="43" customFormat="1" ht="12">
      <c r="A187" s="40"/>
      <c r="B187" s="41"/>
      <c r="C187" s="41"/>
      <c r="D187" s="42"/>
      <c r="E187" s="42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s="43" customFormat="1" ht="12">
      <c r="A188" s="40"/>
      <c r="B188" s="41"/>
      <c r="C188" s="41"/>
      <c r="D188" s="42"/>
      <c r="E188" s="42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s="43" customFormat="1" ht="12">
      <c r="A189" s="40"/>
      <c r="B189" s="41"/>
      <c r="C189" s="41"/>
      <c r="D189" s="42"/>
      <c r="E189" s="42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="43" customFormat="1" ht="12" customHeight="1"/>
    <row r="191" s="43" customFormat="1" ht="12" customHeight="1"/>
  </sheetData>
  <sheetProtection sheet="1" objects="1" scenarios="1" selectLockedCells="1"/>
  <mergeCells count="40">
    <mergeCell ref="T3:T4"/>
    <mergeCell ref="O3:O4"/>
    <mergeCell ref="P3:P4"/>
    <mergeCell ref="Q3:Q4"/>
    <mergeCell ref="R3:R4"/>
    <mergeCell ref="S3:S4"/>
    <mergeCell ref="K3:K4"/>
    <mergeCell ref="L3:L4"/>
    <mergeCell ref="M3:M4"/>
    <mergeCell ref="N3:N4"/>
    <mergeCell ref="B1:D1"/>
    <mergeCell ref="H3:H4"/>
    <mergeCell ref="I3:I4"/>
    <mergeCell ref="B3:D3"/>
    <mergeCell ref="B10:C10"/>
    <mergeCell ref="B20:C20"/>
    <mergeCell ref="B21:C21"/>
    <mergeCell ref="B22:C22"/>
    <mergeCell ref="B23:C23"/>
    <mergeCell ref="J3:J4"/>
    <mergeCell ref="B8:C8"/>
    <mergeCell ref="B32:C32"/>
    <mergeCell ref="B74:C74"/>
    <mergeCell ref="B75:C75"/>
    <mergeCell ref="B76:C76"/>
    <mergeCell ref="B77:C77"/>
    <mergeCell ref="B70:C70"/>
    <mergeCell ref="B68:C68"/>
    <mergeCell ref="B14:C14"/>
    <mergeCell ref="B15:C15"/>
    <mergeCell ref="B5:C5"/>
    <mergeCell ref="B11:C11"/>
    <mergeCell ref="B71:C71"/>
    <mergeCell ref="B72:C72"/>
    <mergeCell ref="B73:C73"/>
    <mergeCell ref="B40:D40"/>
    <mergeCell ref="B45:D45"/>
    <mergeCell ref="B52:D52"/>
    <mergeCell ref="B56:D56"/>
    <mergeCell ref="B48:D48"/>
  </mergeCells>
  <dataValidations count="1">
    <dataValidation type="list" allowBlank="1" showInputMessage="1" showErrorMessage="1" sqref="C41:C44 C57:C58 C53:C55 C46:C47 C49:C51">
      <formula1>L_Meses</formula1>
    </dataValidation>
  </dataValidations>
  <hyperlinks>
    <hyperlink ref="B110" r:id="rId1" display="http://www.cinkventuring.es"/>
  </hyperlinks>
  <printOptions/>
  <pageMargins left="0.2" right="0.2" top="0.4" bottom="1" header="0.4" footer="0.5"/>
  <pageSetup fitToHeight="0" fitToWidth="1" orientation="landscape" paperSize="8" scale="95"/>
  <headerFooter alignWithMargins="0">
    <oddFooter>&amp;L&amp;K000000RoadMapBasic - Modelo Saas&amp;R&amp;K000000&amp;G</oddFooter>
  </headerFooter>
  <rowBreaks count="1" manualBreakCount="1">
    <brk id="80" min="1" max="19" man="1"/>
  </rowBreaks>
  <ignoredErrors>
    <ignoredError sqref="T14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Cink Emprende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RoadMap Basic Saas</dc:title>
  <dc:subject/>
  <dc:creator/>
  <cp:keywords>V1 - Oct 2015</cp:keywords>
  <dc:description/>
  <cp:lastModifiedBy>MRR</cp:lastModifiedBy>
  <cp:lastPrinted>2015-10-23T09:13:38Z</cp:lastPrinted>
  <dcterms:created xsi:type="dcterms:W3CDTF">2015-10-07T16:51:53Z</dcterms:created>
  <dcterms:modified xsi:type="dcterms:W3CDTF">2020-04-04T17:31:26Z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